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9960" yWindow="-75" windowWidth="14370" windowHeight="12540" tabRatio="812" activeTab="4"/>
  </bookViews>
  <sheets>
    <sheet name="Приложение 1" sheetId="49" r:id="rId1"/>
    <sheet name="Приложение 2" sheetId="32" r:id="rId2"/>
    <sheet name="Приложение 3 " sheetId="54" r:id="rId3"/>
    <sheet name="Приложение 5" sheetId="74" r:id="rId4"/>
    <sheet name="Приложение 6" sheetId="31" r:id="rId5"/>
    <sheet name="свод" sheetId="73" r:id="rId6"/>
    <sheet name="Лист1" sheetId="75" r:id="rId7"/>
  </sheets>
  <definedNames>
    <definedName name="_xlnm._FilterDatabase" localSheetId="1" hidden="1">'Приложение 2'!$A$6:$R$686</definedName>
    <definedName name="_xlnm._FilterDatabase" localSheetId="2" hidden="1">'Приложение 3 '!$A$5:$V$967</definedName>
    <definedName name="_xlnm.Print_Area" localSheetId="0">'Приложение 1'!$A$1:$K$215</definedName>
    <definedName name="_xlnm.Print_Area" localSheetId="1">'Приложение 2'!$A$1:$L$685</definedName>
    <definedName name="_xlnm.Print_Area" localSheetId="2">'Приложение 3 '!$A$1:$N$966</definedName>
    <definedName name="_xlnm.Print_Area" localSheetId="3">'Приложение 5'!$A$1:$K$60</definedName>
    <definedName name="_xlnm.Print_Area" localSheetId="5">свод!$A$1:$E$87</definedName>
    <definedName name="Таблица_1">'Приложение 3 '!$E$6:$E$965</definedName>
  </definedNames>
  <calcPr calcId="145621"/>
</workbook>
</file>

<file path=xl/calcChain.xml><?xml version="1.0" encoding="utf-8"?>
<calcChain xmlns="http://schemas.openxmlformats.org/spreadsheetml/2006/main">
  <c r="F540" i="32" l="1"/>
  <c r="G249" i="54"/>
  <c r="E532" i="32"/>
  <c r="G14" i="54" l="1"/>
  <c r="E24" i="32"/>
  <c r="F539" i="32" l="1"/>
  <c r="E539" i="32"/>
  <c r="G256" i="54"/>
  <c r="H257" i="54"/>
  <c r="H256" i="54" s="1"/>
  <c r="H19" i="74"/>
  <c r="G19" i="74"/>
  <c r="F42" i="74"/>
  <c r="D40" i="74"/>
  <c r="E40" i="74"/>
  <c r="D38" i="74"/>
  <c r="E38" i="74"/>
  <c r="D37" i="74"/>
  <c r="E37" i="74"/>
  <c r="D26" i="74"/>
  <c r="D19" i="74" s="1"/>
  <c r="E26" i="74"/>
  <c r="D32" i="74"/>
  <c r="E32" i="74"/>
  <c r="D31" i="74"/>
  <c r="E31" i="74"/>
  <c r="C43" i="74"/>
  <c r="C41" i="74"/>
  <c r="E19" i="74" l="1"/>
  <c r="B95" i="75"/>
  <c r="C41" i="75"/>
  <c r="C40" i="75"/>
  <c r="C95" i="75" l="1"/>
  <c r="B96" i="75" s="1"/>
  <c r="C19" i="74"/>
  <c r="G644" i="54"/>
  <c r="E118" i="32"/>
  <c r="D202" i="49"/>
  <c r="D4" i="73"/>
  <c r="G26" i="54"/>
  <c r="E27" i="32"/>
  <c r="E27" i="73" l="1"/>
  <c r="G747" i="54"/>
  <c r="H748" i="54"/>
  <c r="E167" i="32"/>
  <c r="F118" i="32"/>
  <c r="G133" i="54" l="1"/>
  <c r="H397" i="54"/>
  <c r="G397" i="54"/>
  <c r="G394" i="54" s="1"/>
  <c r="G393" i="54" s="1"/>
  <c r="F660" i="32"/>
  <c r="E165" i="32"/>
  <c r="G651" i="54"/>
  <c r="G519" i="54"/>
  <c r="G518" i="54" s="1"/>
  <c r="G517" i="54" s="1"/>
  <c r="G516" i="54" s="1"/>
  <c r="G515" i="54" s="1"/>
  <c r="G514" i="54" s="1"/>
  <c r="E33" i="32"/>
  <c r="F34" i="32"/>
  <c r="F250" i="32"/>
  <c r="E251" i="32"/>
  <c r="E249" i="32" s="1"/>
  <c r="H313" i="54"/>
  <c r="G312" i="54"/>
  <c r="G536" i="54"/>
  <c r="H536" i="54" s="1"/>
  <c r="H535" i="54" s="1"/>
  <c r="G270" i="54"/>
  <c r="G314" i="54"/>
  <c r="H315" i="54"/>
  <c r="E254" i="32"/>
  <c r="F255" i="32"/>
  <c r="E245" i="32"/>
  <c r="F245" i="32" s="1"/>
  <c r="H503" i="54"/>
  <c r="G503" i="54"/>
  <c r="E176" i="49"/>
  <c r="F251" i="32" l="1"/>
  <c r="F249" i="32" s="1"/>
  <c r="G535" i="54"/>
  <c r="G534" i="54" s="1"/>
  <c r="G533" i="54" s="1"/>
  <c r="G532" i="54" s="1"/>
  <c r="E23" i="32"/>
  <c r="I60" i="74" l="1"/>
  <c r="I59" i="74" s="1"/>
  <c r="F60" i="74"/>
  <c r="F59" i="74" s="1"/>
  <c r="C60" i="74"/>
  <c r="C59" i="74" s="1"/>
  <c r="K59" i="74"/>
  <c r="J59" i="74"/>
  <c r="H59" i="74"/>
  <c r="G59" i="74"/>
  <c r="E59" i="74"/>
  <c r="D59" i="74"/>
  <c r="K58" i="74"/>
  <c r="H58" i="74"/>
  <c r="F58" i="74" s="1"/>
  <c r="E58" i="74"/>
  <c r="I57" i="74"/>
  <c r="I56" i="74" s="1"/>
  <c r="F57" i="74"/>
  <c r="F56" i="74" s="1"/>
  <c r="C57" i="74"/>
  <c r="C56" i="74" s="1"/>
  <c r="K56" i="74"/>
  <c r="J56" i="74"/>
  <c r="H56" i="74"/>
  <c r="G56" i="74"/>
  <c r="E56" i="74"/>
  <c r="D56" i="74"/>
  <c r="C55" i="74"/>
  <c r="C54" i="74"/>
  <c r="C53" i="74"/>
  <c r="C52" i="74"/>
  <c r="F51" i="74"/>
  <c r="C51" i="74"/>
  <c r="I50" i="74"/>
  <c r="F50" i="74"/>
  <c r="C50" i="74"/>
  <c r="C49" i="74"/>
  <c r="I48" i="74"/>
  <c r="F48" i="74"/>
  <c r="C48" i="74"/>
  <c r="E46" i="74"/>
  <c r="E18" i="74" s="1"/>
  <c r="D46" i="74"/>
  <c r="D18" i="74" s="1"/>
  <c r="C40" i="74"/>
  <c r="C39" i="74"/>
  <c r="C38" i="74"/>
  <c r="C37" i="74"/>
  <c r="C36" i="74"/>
  <c r="C35" i="74"/>
  <c r="C34" i="74"/>
  <c r="I33" i="74"/>
  <c r="I19" i="74" s="1"/>
  <c r="I18" i="74" s="1"/>
  <c r="C32" i="74"/>
  <c r="C31" i="74"/>
  <c r="C30" i="74"/>
  <c r="C29" i="74"/>
  <c r="C28" i="74"/>
  <c r="C27" i="74"/>
  <c r="C26" i="74"/>
  <c r="C25" i="74"/>
  <c r="C24" i="74"/>
  <c r="C23" i="74"/>
  <c r="C22" i="74"/>
  <c r="F21" i="74"/>
  <c r="F19" i="74" s="1"/>
  <c r="C21" i="74"/>
  <c r="K19" i="74"/>
  <c r="K18" i="74" s="1"/>
  <c r="J19" i="74"/>
  <c r="J18" i="74" s="1"/>
  <c r="H18" i="74"/>
  <c r="G18" i="74"/>
  <c r="K16" i="74"/>
  <c r="J16" i="74"/>
  <c r="I16" i="74"/>
  <c r="H16" i="74"/>
  <c r="G16" i="74"/>
  <c r="F16" i="74"/>
  <c r="E16" i="74"/>
  <c r="D16" i="74"/>
  <c r="C16" i="74"/>
  <c r="I15" i="74"/>
  <c r="I14" i="74" s="1"/>
  <c r="K14" i="74"/>
  <c r="J14" i="74"/>
  <c r="H14" i="74"/>
  <c r="G14" i="74"/>
  <c r="F14" i="74"/>
  <c r="E14" i="74"/>
  <c r="D14" i="74"/>
  <c r="C14" i="74"/>
  <c r="H13" i="74"/>
  <c r="H12" i="74" s="1"/>
  <c r="D13" i="74" l="1"/>
  <c r="D12" i="74" s="1"/>
  <c r="E13" i="74"/>
  <c r="E12" i="74" s="1"/>
  <c r="C46" i="74"/>
  <c r="C18" i="74" s="1"/>
  <c r="C13" i="74" s="1"/>
  <c r="J13" i="74"/>
  <c r="J12" i="74" s="1"/>
  <c r="F18" i="74"/>
  <c r="F13" i="74"/>
  <c r="F12" i="74" s="1"/>
  <c r="G13" i="74"/>
  <c r="G12" i="74" s="1"/>
  <c r="I13" i="74"/>
  <c r="K13" i="74"/>
  <c r="K12" i="74" s="1"/>
  <c r="C58" i="74"/>
  <c r="I58" i="74"/>
  <c r="C12" i="74" l="1"/>
  <c r="I12" i="74"/>
  <c r="F244" i="32" l="1"/>
  <c r="E565" i="32" l="1"/>
  <c r="G769" i="54" l="1"/>
  <c r="H770" i="54"/>
  <c r="F341" i="32"/>
  <c r="E340" i="32"/>
  <c r="F605" i="32"/>
  <c r="E28" i="32"/>
  <c r="E26" i="32" s="1"/>
  <c r="G27" i="54"/>
  <c r="E514" i="32" l="1"/>
  <c r="D480" i="32" l="1"/>
  <c r="D479" i="32" s="1"/>
  <c r="F364" i="54"/>
  <c r="F363" i="54" s="1"/>
  <c r="G442" i="54" l="1"/>
  <c r="E442" i="32"/>
  <c r="E419" i="32" l="1"/>
  <c r="F645" i="54"/>
  <c r="E166" i="32"/>
  <c r="E152" i="32"/>
  <c r="D208" i="49" l="1"/>
  <c r="B125" i="73"/>
  <c r="D185" i="49"/>
  <c r="D142" i="49"/>
  <c r="D135" i="49"/>
  <c r="D124" i="49"/>
  <c r="D119" i="49"/>
  <c r="D53" i="49"/>
  <c r="E429" i="32"/>
  <c r="G819" i="54" l="1"/>
  <c r="H820" i="54"/>
  <c r="F314" i="32"/>
  <c r="F313" i="32" s="1"/>
  <c r="E313" i="32"/>
  <c r="F679" i="32"/>
  <c r="F678" i="32" s="1"/>
  <c r="E679" i="32"/>
  <c r="E678" i="32" s="1"/>
  <c r="E675" i="32"/>
  <c r="E212" i="49"/>
  <c r="E17" i="49" l="1"/>
  <c r="E16" i="49"/>
  <c r="E15" i="49"/>
  <c r="E14" i="49"/>
  <c r="E23" i="49"/>
  <c r="E22" i="49"/>
  <c r="E21" i="49"/>
  <c r="E20" i="49"/>
  <c r="E30" i="49"/>
  <c r="E28" i="49"/>
  <c r="E26" i="49"/>
  <c r="E39" i="49"/>
  <c r="E38" i="49"/>
  <c r="E36" i="49"/>
  <c r="E35" i="49"/>
  <c r="E33" i="49"/>
  <c r="E46" i="49"/>
  <c r="E44" i="49"/>
  <c r="E42" i="49"/>
  <c r="E54" i="49"/>
  <c r="E52" i="49"/>
  <c r="E51" i="49"/>
  <c r="E50" i="49"/>
  <c r="E59" i="49"/>
  <c r="E58" i="49"/>
  <c r="E57" i="49"/>
  <c r="E65" i="49"/>
  <c r="E64" i="49"/>
  <c r="E62" i="49"/>
  <c r="E72" i="49"/>
  <c r="E71" i="49"/>
  <c r="E69" i="49"/>
  <c r="E68" i="49"/>
  <c r="E86" i="49"/>
  <c r="E85" i="49"/>
  <c r="E84" i="49"/>
  <c r="E83" i="49"/>
  <c r="E82" i="49"/>
  <c r="E81" i="49"/>
  <c r="E80" i="49"/>
  <c r="E79" i="49"/>
  <c r="E78" i="49"/>
  <c r="E77" i="49"/>
  <c r="E76" i="49"/>
  <c r="E75" i="49"/>
  <c r="E87" i="49"/>
  <c r="D73" i="49"/>
  <c r="C73" i="49"/>
  <c r="D63" i="49"/>
  <c r="D56" i="49"/>
  <c r="D55" i="49" s="1"/>
  <c r="D49" i="49"/>
  <c r="D48" i="49" s="1"/>
  <c r="D45" i="49"/>
  <c r="D43" i="49"/>
  <c r="D41" i="49"/>
  <c r="D37" i="49"/>
  <c r="D34" i="49"/>
  <c r="D32" i="49"/>
  <c r="D29" i="49"/>
  <c r="D27" i="49"/>
  <c r="D25" i="49"/>
  <c r="D24" i="49" s="1"/>
  <c r="D13" i="49"/>
  <c r="D12" i="49" s="1"/>
  <c r="E73" i="49" l="1"/>
  <c r="D40" i="49"/>
  <c r="D31" i="49"/>
  <c r="H646" i="54" l="1"/>
  <c r="H645" i="54" s="1"/>
  <c r="G646" i="54"/>
  <c r="G645" i="54" s="1"/>
  <c r="F126" i="32"/>
  <c r="F125" i="32" s="1"/>
  <c r="E126" i="32"/>
  <c r="E125" i="32" s="1"/>
  <c r="G891" i="54"/>
  <c r="H483" i="54"/>
  <c r="H482" i="54" s="1"/>
  <c r="N482" i="54"/>
  <c r="L482" i="54"/>
  <c r="K482" i="54"/>
  <c r="I482" i="54"/>
  <c r="G482" i="54"/>
  <c r="F506" i="32"/>
  <c r="E506" i="32"/>
  <c r="E13" i="73"/>
  <c r="E11" i="73"/>
  <c r="G626" i="54"/>
  <c r="G602" i="54"/>
  <c r="E95" i="32"/>
  <c r="E79" i="32"/>
  <c r="H763" i="54"/>
  <c r="G771" i="54"/>
  <c r="H772" i="54"/>
  <c r="H775" i="54"/>
  <c r="H776" i="54"/>
  <c r="H320" i="54"/>
  <c r="H321" i="54"/>
  <c r="H492" i="54"/>
  <c r="G441" i="54"/>
  <c r="G438" i="54" s="1"/>
  <c r="E117" i="32"/>
  <c r="G571" i="54"/>
  <c r="G570" i="54" s="1"/>
  <c r="G569" i="54" s="1"/>
  <c r="G568" i="54" s="1"/>
  <c r="G567" i="54" s="1"/>
  <c r="H572" i="54"/>
  <c r="E227" i="32"/>
  <c r="F228" i="32"/>
  <c r="E229" i="32"/>
  <c r="H780" i="54"/>
  <c r="H781" i="54"/>
  <c r="G779" i="54"/>
  <c r="G778" i="54" s="1"/>
  <c r="G777" i="54" s="1"/>
  <c r="F351" i="32"/>
  <c r="F352" i="32"/>
  <c r="E350" i="32"/>
  <c r="E349" i="32" s="1"/>
  <c r="E348" i="32" s="1"/>
  <c r="H883" i="54"/>
  <c r="G882" i="54"/>
  <c r="G880" i="54" s="1"/>
  <c r="F325" i="32"/>
  <c r="E323" i="32"/>
  <c r="E324" i="32"/>
  <c r="H876" i="54"/>
  <c r="H877" i="54"/>
  <c r="F318" i="32"/>
  <c r="F319" i="32"/>
  <c r="D6" i="73"/>
  <c r="D5" i="73"/>
  <c r="H220" i="54"/>
  <c r="G219" i="54"/>
  <c r="F619" i="32"/>
  <c r="F620" i="32"/>
  <c r="E607" i="32"/>
  <c r="E606" i="32" s="1"/>
  <c r="H285" i="54"/>
  <c r="H284" i="54"/>
  <c r="H286" i="54"/>
  <c r="G283" i="54"/>
  <c r="G282" i="54" s="1"/>
  <c r="E602" i="32"/>
  <c r="E601" i="32" s="1"/>
  <c r="H464" i="54"/>
  <c r="G463" i="54"/>
  <c r="G462" i="54" s="1"/>
  <c r="F522" i="32"/>
  <c r="F521" i="32"/>
  <c r="E513" i="32"/>
  <c r="H374" i="54"/>
  <c r="H375" i="54"/>
  <c r="G373" i="54"/>
  <c r="G372" i="54" s="1"/>
  <c r="E489" i="32"/>
  <c r="E488" i="32" s="1"/>
  <c r="F490" i="32"/>
  <c r="F491" i="32"/>
  <c r="H409" i="54"/>
  <c r="H408" i="54"/>
  <c r="H410" i="54"/>
  <c r="G407" i="54"/>
  <c r="G406" i="54"/>
  <c r="G403" i="54" s="1"/>
  <c r="G402" i="54" s="1"/>
  <c r="H545" i="54"/>
  <c r="H544" i="54"/>
  <c r="H546" i="54"/>
  <c r="G543" i="54"/>
  <c r="G542" i="54" s="1"/>
  <c r="G539" i="54" s="1"/>
  <c r="G538" i="54" s="1"/>
  <c r="G537" i="54" s="1"/>
  <c r="E397" i="32"/>
  <c r="E396" i="32" s="1"/>
  <c r="F400" i="32"/>
  <c r="F399" i="32"/>
  <c r="F398" i="32"/>
  <c r="E392" i="32"/>
  <c r="E389" i="32" s="1"/>
  <c r="F394" i="32"/>
  <c r="F393" i="32"/>
  <c r="F395" i="32"/>
  <c r="D342" i="32"/>
  <c r="E342" i="32"/>
  <c r="F343" i="32"/>
  <c r="G774" i="54"/>
  <c r="G773" i="54" s="1"/>
  <c r="E345" i="32"/>
  <c r="F347" i="32"/>
  <c r="F346" i="32"/>
  <c r="G319" i="54"/>
  <c r="G318" i="54" s="1"/>
  <c r="H98" i="54"/>
  <c r="H97" i="54"/>
  <c r="G96" i="54"/>
  <c r="G95" i="54" s="1"/>
  <c r="F261" i="32"/>
  <c r="H531" i="54"/>
  <c r="H530" i="54"/>
  <c r="G529" i="54"/>
  <c r="F238" i="32"/>
  <c r="F237" i="32"/>
  <c r="F122" i="32"/>
  <c r="D86" i="73" l="1"/>
  <c r="G768" i="54"/>
  <c r="E86" i="73"/>
  <c r="H882" i="54"/>
  <c r="G881" i="54"/>
  <c r="H881" i="54" s="1"/>
  <c r="E391" i="32"/>
  <c r="G404" i="54"/>
  <c r="G540" i="54"/>
  <c r="H357" i="54"/>
  <c r="H356" i="54"/>
  <c r="H358" i="54"/>
  <c r="E155" i="49"/>
  <c r="E147" i="49" l="1"/>
  <c r="H563" i="54"/>
  <c r="H562" i="54"/>
  <c r="H561" i="54"/>
  <c r="G560" i="54"/>
  <c r="G559" i="54" s="1"/>
  <c r="E216" i="32"/>
  <c r="F218" i="32"/>
  <c r="F217" i="32"/>
  <c r="F219" i="32"/>
  <c r="N217" i="54"/>
  <c r="M217" i="54"/>
  <c r="L217" i="54"/>
  <c r="G218" i="54"/>
  <c r="G217" i="54" s="1"/>
  <c r="H221" i="54"/>
  <c r="L616" i="32"/>
  <c r="K616" i="32"/>
  <c r="J616" i="32"/>
  <c r="E618" i="32"/>
  <c r="E617" i="32" s="1"/>
  <c r="F442" i="54"/>
  <c r="G216" i="54" l="1"/>
  <c r="G204" i="54" s="1"/>
  <c r="G203" i="54" s="1"/>
  <c r="E616" i="32"/>
  <c r="E615" i="32" s="1"/>
  <c r="F294" i="32"/>
  <c r="F293" i="32"/>
  <c r="G846" i="54" l="1"/>
  <c r="G390" i="54"/>
  <c r="E244" i="32"/>
  <c r="E631" i="32"/>
  <c r="F634" i="32"/>
  <c r="F633" i="32"/>
  <c r="F482" i="32"/>
  <c r="E480" i="32"/>
  <c r="E479" i="32" s="1"/>
  <c r="E667" i="32"/>
  <c r="F668" i="32"/>
  <c r="F155" i="32"/>
  <c r="E307" i="32"/>
  <c r="E306" i="32" s="1"/>
  <c r="F303" i="32"/>
  <c r="F304" i="32"/>
  <c r="E302" i="32"/>
  <c r="E301" i="32" s="1"/>
  <c r="E292" i="32"/>
  <c r="E336" i="32"/>
  <c r="E335" i="32" s="1"/>
  <c r="E334" i="32" s="1"/>
  <c r="F164" i="32"/>
  <c r="H751" i="54"/>
  <c r="E299" i="32" l="1"/>
  <c r="E291" i="32"/>
  <c r="E599" i="32"/>
  <c r="F29" i="32"/>
  <c r="E498" i="32" l="1"/>
  <c r="F499" i="32"/>
  <c r="F500" i="32"/>
  <c r="F61" i="32"/>
  <c r="E61" i="32"/>
  <c r="E209" i="49"/>
  <c r="E207" i="49"/>
  <c r="E200" i="49"/>
  <c r="E194" i="49"/>
  <c r="D191" i="49"/>
  <c r="E187" i="49"/>
  <c r="D172" i="49"/>
  <c r="D170" i="49" s="1"/>
  <c r="E168" i="49"/>
  <c r="E167" i="49"/>
  <c r="E163" i="49"/>
  <c r="E162" i="49"/>
  <c r="E160" i="49"/>
  <c r="E164" i="49"/>
  <c r="E140" i="49"/>
  <c r="E141" i="49"/>
  <c r="D138" i="49"/>
  <c r="D137" i="49" s="1"/>
  <c r="E136" i="49"/>
  <c r="E133" i="49"/>
  <c r="E134" i="49"/>
  <c r="D132" i="49"/>
  <c r="D131" i="49" s="1"/>
  <c r="E129" i="49"/>
  <c r="E125" i="49"/>
  <c r="E122" i="49"/>
  <c r="E123" i="49"/>
  <c r="D120" i="49"/>
  <c r="E117" i="49"/>
  <c r="E118" i="49"/>
  <c r="D169" i="49" l="1"/>
  <c r="E188" i="49"/>
  <c r="E184" i="49"/>
  <c r="D198" i="49" l="1"/>
  <c r="D195" i="49" s="1"/>
  <c r="E58" i="32" l="1"/>
  <c r="F59" i="32"/>
  <c r="H142" i="54"/>
  <c r="G141" i="54"/>
  <c r="G140" i="54" s="1"/>
  <c r="G139" i="54" s="1"/>
  <c r="G138" i="54" s="1"/>
  <c r="G137" i="54" s="1"/>
  <c r="G136" i="54" s="1"/>
  <c r="F195" i="32"/>
  <c r="F194" i="32" s="1"/>
  <c r="F193" i="32" s="1"/>
  <c r="E195" i="32"/>
  <c r="E194" i="32" s="1"/>
  <c r="E193" i="32" s="1"/>
  <c r="F460" i="32" l="1"/>
  <c r="H638" i="54" l="1"/>
  <c r="G637" i="54"/>
  <c r="H636" i="54"/>
  <c r="G635" i="54"/>
  <c r="H634" i="54"/>
  <c r="G633" i="54"/>
  <c r="E105" i="32"/>
  <c r="E107" i="32"/>
  <c r="F108" i="32"/>
  <c r="F106" i="32"/>
  <c r="E101" i="32" l="1"/>
  <c r="F102" i="32"/>
  <c r="E417" i="32"/>
  <c r="G418" i="54"/>
  <c r="G916" i="54"/>
  <c r="G915" i="54" s="1"/>
  <c r="H917" i="54"/>
  <c r="H918" i="54"/>
  <c r="G754" i="54"/>
  <c r="G753" i="54" s="1"/>
  <c r="G746" i="54" s="1"/>
  <c r="G745" i="54" s="1"/>
  <c r="H756" i="54"/>
  <c r="H755" i="54"/>
  <c r="H28" i="54"/>
  <c r="H27" i="54"/>
  <c r="H299" i="54"/>
  <c r="G269" i="54"/>
  <c r="H270" i="54"/>
  <c r="H271" i="54"/>
  <c r="H913" i="54"/>
  <c r="G889" i="54"/>
  <c r="H892" i="54"/>
  <c r="H14" i="54"/>
  <c r="H689" i="54"/>
  <c r="H690" i="54"/>
  <c r="H858" i="54"/>
  <c r="H859" i="54"/>
  <c r="G857" i="54"/>
  <c r="G856" i="54" s="1"/>
  <c r="H269" i="54" l="1"/>
  <c r="H500" i="54"/>
  <c r="G499" i="54"/>
  <c r="G496" i="54" s="1"/>
  <c r="H391" i="54"/>
  <c r="H392" i="54"/>
  <c r="G364" i="54"/>
  <c r="G363" i="54" s="1"/>
  <c r="H47" i="54"/>
  <c r="G47" i="54"/>
  <c r="H475" i="54" l="1"/>
  <c r="F625" i="54" l="1"/>
  <c r="F782" i="54"/>
  <c r="D181" i="32" l="1"/>
  <c r="D537" i="32"/>
  <c r="D674" i="32"/>
  <c r="C102" i="49"/>
  <c r="I352" i="32" l="1"/>
  <c r="H350" i="32"/>
  <c r="H349" i="32" s="1"/>
  <c r="I294" i="32" l="1"/>
  <c r="I292" i="32" s="1"/>
  <c r="I290" i="32" s="1"/>
  <c r="K859" i="54"/>
  <c r="K857" i="54" s="1"/>
  <c r="J857" i="54"/>
  <c r="J856" i="54" s="1"/>
  <c r="J855" i="54" s="1"/>
  <c r="J841" i="54" s="1"/>
  <c r="J840" i="54" s="1"/>
  <c r="J839" i="54" s="1"/>
  <c r="J838" i="54" s="1"/>
  <c r="J837" i="54" s="1"/>
  <c r="J786" i="54" s="1"/>
  <c r="G290" i="32"/>
  <c r="J290" i="32"/>
  <c r="K290" i="32"/>
  <c r="L290" i="32"/>
  <c r="H292" i="32"/>
  <c r="H290" i="32" s="1"/>
  <c r="H263" i="32" s="1"/>
  <c r="H262" i="32" s="1"/>
  <c r="H291" i="32" l="1"/>
  <c r="K781" i="54"/>
  <c r="J779" i="54"/>
  <c r="J778" i="54" s="1"/>
  <c r="H339" i="32" l="1"/>
  <c r="J777" i="54"/>
  <c r="J767" i="54" s="1"/>
  <c r="J766" i="54" s="1"/>
  <c r="J765" i="54" s="1"/>
  <c r="J764" i="54" s="1"/>
  <c r="K782" i="54"/>
  <c r="F637" i="32"/>
  <c r="H108" i="54"/>
  <c r="G106" i="54"/>
  <c r="H353" i="32" l="1"/>
  <c r="H348" i="32" s="1"/>
  <c r="H338" i="32" s="1"/>
  <c r="I354" i="32"/>
  <c r="I353" i="32" s="1"/>
  <c r="H664" i="54"/>
  <c r="H663" i="54" s="1"/>
  <c r="G663" i="54"/>
  <c r="E183" i="32"/>
  <c r="F636" i="32" l="1"/>
  <c r="H129" i="54" l="1"/>
  <c r="D87" i="73"/>
  <c r="E149" i="49"/>
  <c r="F675" i="32"/>
  <c r="H657" i="54"/>
  <c r="F177" i="32"/>
  <c r="J656" i="54"/>
  <c r="J655" i="54" s="1"/>
  <c r="J654" i="54" s="1"/>
  <c r="J653" i="54" s="1"/>
  <c r="K658" i="54"/>
  <c r="K656" i="54" s="1"/>
  <c r="K655" i="54" s="1"/>
  <c r="K654" i="54" s="1"/>
  <c r="K653" i="54" s="1"/>
  <c r="H176" i="32"/>
  <c r="I176" i="32" s="1"/>
  <c r="I178" i="32"/>
  <c r="F356" i="32"/>
  <c r="H175" i="32" l="1"/>
  <c r="H174" i="32" s="1"/>
  <c r="H173" i="32" s="1"/>
  <c r="G128" i="54"/>
  <c r="E674" i="32"/>
  <c r="F182" i="32"/>
  <c r="F181" i="32" s="1"/>
  <c r="E181" i="32"/>
  <c r="F151" i="32"/>
  <c r="E148" i="32"/>
  <c r="G683" i="54"/>
  <c r="H686" i="54"/>
  <c r="G685" i="54"/>
  <c r="H685" i="54" s="1"/>
  <c r="E185" i="32"/>
  <c r="E179" i="32"/>
  <c r="F180" i="32"/>
  <c r="F179" i="32" s="1"/>
  <c r="G676" i="54"/>
  <c r="F434" i="32"/>
  <c r="F415" i="32"/>
  <c r="H434" i="54"/>
  <c r="H416" i="54"/>
  <c r="H350" i="54"/>
  <c r="F478" i="32"/>
  <c r="F537" i="32"/>
  <c r="H782" i="54"/>
  <c r="H195" i="54"/>
  <c r="H193" i="54"/>
  <c r="G192" i="54"/>
  <c r="G194" i="54"/>
  <c r="F379" i="32"/>
  <c r="F377" i="32"/>
  <c r="E378" i="32"/>
  <c r="E376" i="32"/>
  <c r="E673" i="32" l="1"/>
  <c r="F674" i="32"/>
  <c r="H128" i="54"/>
  <c r="G127" i="54"/>
  <c r="E150" i="32"/>
  <c r="H421" i="54" l="1"/>
  <c r="F347" i="54" l="1"/>
  <c r="H348" i="54"/>
  <c r="F25" i="54" l="1"/>
  <c r="F133" i="54"/>
  <c r="F441" i="54"/>
  <c r="H387" i="54"/>
  <c r="H385" i="54"/>
  <c r="F387" i="54"/>
  <c r="F385" i="54"/>
  <c r="F390" i="54"/>
  <c r="F501" i="54"/>
  <c r="F612" i="54"/>
  <c r="F774" i="54"/>
  <c r="D176" i="32"/>
  <c r="D187" i="32"/>
  <c r="D311" i="32"/>
  <c r="D345" i="32"/>
  <c r="D495" i="32"/>
  <c r="D493" i="32"/>
  <c r="D498" i="32"/>
  <c r="D640" i="32"/>
  <c r="D683" i="32"/>
  <c r="E102" i="49"/>
  <c r="D102" i="49"/>
  <c r="D97" i="49" s="1"/>
  <c r="C142" i="49" l="1"/>
  <c r="C25" i="49"/>
  <c r="E25" i="49" s="1"/>
  <c r="C67" i="49"/>
  <c r="H473" i="54"/>
  <c r="F458" i="32"/>
  <c r="E213" i="49" l="1"/>
  <c r="K213" i="49"/>
  <c r="I213" i="49"/>
  <c r="H213" i="49"/>
  <c r="F213" i="49"/>
  <c r="D213" i="49"/>
  <c r="C213" i="49"/>
  <c r="E211" i="49"/>
  <c r="D211" i="49"/>
  <c r="E210" i="49"/>
  <c r="E208" i="49" s="1"/>
  <c r="K208" i="49"/>
  <c r="J208" i="49"/>
  <c r="I208" i="49"/>
  <c r="H208" i="49"/>
  <c r="C208" i="49"/>
  <c r="E206" i="49"/>
  <c r="D206" i="49"/>
  <c r="E203" i="49"/>
  <c r="K202" i="49"/>
  <c r="K198" i="49" s="1"/>
  <c r="K195" i="49" s="1"/>
  <c r="H202" i="49"/>
  <c r="E202" i="49"/>
  <c r="J198" i="49"/>
  <c r="J195" i="49" s="1"/>
  <c r="I198" i="49"/>
  <c r="I195" i="49" s="1"/>
  <c r="H198" i="49"/>
  <c r="H195" i="49" s="1"/>
  <c r="G198" i="49"/>
  <c r="G195" i="49" s="1"/>
  <c r="F198" i="49"/>
  <c r="F195" i="49" s="1"/>
  <c r="C198" i="49"/>
  <c r="C195" i="49" s="1"/>
  <c r="K191" i="49"/>
  <c r="I191" i="49"/>
  <c r="H191" i="49"/>
  <c r="F191" i="49"/>
  <c r="E191" i="49"/>
  <c r="C191" i="49"/>
  <c r="K185" i="49"/>
  <c r="I185" i="49"/>
  <c r="H185" i="49"/>
  <c r="F185" i="49"/>
  <c r="E185" i="49"/>
  <c r="C185" i="49"/>
  <c r="K183" i="49"/>
  <c r="H183" i="49"/>
  <c r="E183" i="49"/>
  <c r="E181" i="49"/>
  <c r="K179" i="49"/>
  <c r="H179" i="49"/>
  <c r="E179" i="49"/>
  <c r="K177" i="49"/>
  <c r="H177" i="49"/>
  <c r="E177" i="49"/>
  <c r="K174" i="49"/>
  <c r="H174" i="49"/>
  <c r="E174" i="49"/>
  <c r="K173" i="49"/>
  <c r="H173" i="49"/>
  <c r="E173" i="49"/>
  <c r="K172" i="49"/>
  <c r="H172" i="49"/>
  <c r="E172" i="49"/>
  <c r="J170" i="49"/>
  <c r="J169" i="49" s="1"/>
  <c r="I170" i="49"/>
  <c r="G170" i="49"/>
  <c r="G169" i="49" s="1"/>
  <c r="F170" i="49"/>
  <c r="C170" i="49"/>
  <c r="E165" i="49"/>
  <c r="H162" i="49"/>
  <c r="K149" i="49"/>
  <c r="K142" i="49" s="1"/>
  <c r="H149" i="49"/>
  <c r="E146" i="49"/>
  <c r="J142" i="49"/>
  <c r="I142" i="49"/>
  <c r="G142" i="49"/>
  <c r="F142" i="49"/>
  <c r="K138" i="49"/>
  <c r="K137" i="49" s="1"/>
  <c r="I138" i="49"/>
  <c r="I137" i="49" s="1"/>
  <c r="H138" i="49"/>
  <c r="F138" i="49"/>
  <c r="F137" i="49" s="1"/>
  <c r="E138" i="49"/>
  <c r="E137" i="49" s="1"/>
  <c r="C138" i="49"/>
  <c r="C137" i="49" s="1"/>
  <c r="H137" i="49"/>
  <c r="E135" i="49"/>
  <c r="C135" i="49"/>
  <c r="K132" i="49"/>
  <c r="K131" i="49" s="1"/>
  <c r="I132" i="49"/>
  <c r="I131" i="49" s="1"/>
  <c r="H132" i="49"/>
  <c r="H131" i="49" s="1"/>
  <c r="F132" i="49"/>
  <c r="F131" i="49" s="1"/>
  <c r="E132" i="49"/>
  <c r="E131" i="49" s="1"/>
  <c r="C132" i="49"/>
  <c r="C131" i="49" s="1"/>
  <c r="E127" i="49"/>
  <c r="E126" i="49" s="1"/>
  <c r="D127" i="49"/>
  <c r="D126" i="49" s="1"/>
  <c r="C127" i="49"/>
  <c r="C126" i="49" s="1"/>
  <c r="E124" i="49"/>
  <c r="C124" i="49"/>
  <c r="E120" i="49"/>
  <c r="C120" i="49"/>
  <c r="E119" i="49"/>
  <c r="C119" i="49"/>
  <c r="K117" i="49"/>
  <c r="K116" i="49" s="1"/>
  <c r="K115" i="49" s="1"/>
  <c r="H117" i="49"/>
  <c r="H116" i="49" s="1"/>
  <c r="H115" i="49" s="1"/>
  <c r="J116" i="49"/>
  <c r="J115" i="49" s="1"/>
  <c r="I116" i="49"/>
  <c r="I115" i="49" s="1"/>
  <c r="G116" i="49"/>
  <c r="G115" i="49" s="1"/>
  <c r="F116" i="49"/>
  <c r="F115" i="49" s="1"/>
  <c r="E116" i="49"/>
  <c r="E115" i="49" s="1"/>
  <c r="D116" i="49"/>
  <c r="C116" i="49"/>
  <c r="C115" i="49" s="1"/>
  <c r="E110" i="49"/>
  <c r="C110" i="49"/>
  <c r="E108" i="49"/>
  <c r="C108" i="49"/>
  <c r="K102" i="49"/>
  <c r="I102" i="49"/>
  <c r="H102" i="49"/>
  <c r="F102" i="49"/>
  <c r="K99" i="49"/>
  <c r="I99" i="49"/>
  <c r="I97" i="49" s="1"/>
  <c r="H99" i="49"/>
  <c r="F99" i="49"/>
  <c r="F97" i="49" s="1"/>
  <c r="E99" i="49"/>
  <c r="E97" i="49" s="1"/>
  <c r="C99" i="49"/>
  <c r="C97" i="49" s="1"/>
  <c r="K73" i="49"/>
  <c r="I73" i="49"/>
  <c r="H73" i="49"/>
  <c r="F73" i="49"/>
  <c r="K70" i="49"/>
  <c r="I70" i="49"/>
  <c r="I66" i="49" s="1"/>
  <c r="H70" i="49"/>
  <c r="F70" i="49"/>
  <c r="D70" i="49"/>
  <c r="C70" i="49"/>
  <c r="E70" i="49" s="1"/>
  <c r="K67" i="49"/>
  <c r="I67" i="49"/>
  <c r="H67" i="49"/>
  <c r="F67" i="49"/>
  <c r="D67" i="49"/>
  <c r="E67" i="49" s="1"/>
  <c r="K63" i="49"/>
  <c r="I63" i="49"/>
  <c r="H63" i="49"/>
  <c r="F63" i="49"/>
  <c r="C63" i="49"/>
  <c r="E63" i="49" s="1"/>
  <c r="K61" i="49"/>
  <c r="I61" i="49"/>
  <c r="H61" i="49"/>
  <c r="F61" i="49"/>
  <c r="D61" i="49"/>
  <c r="C61" i="49"/>
  <c r="K56" i="49"/>
  <c r="K55" i="49" s="1"/>
  <c r="I56" i="49"/>
  <c r="I55" i="49" s="1"/>
  <c r="H56" i="49"/>
  <c r="H55" i="49" s="1"/>
  <c r="F56" i="49"/>
  <c r="F55" i="49" s="1"/>
  <c r="C56" i="49"/>
  <c r="K53" i="49"/>
  <c r="I53" i="49"/>
  <c r="H53" i="49"/>
  <c r="F53" i="49"/>
  <c r="C53" i="49"/>
  <c r="E53" i="49" s="1"/>
  <c r="K49" i="49"/>
  <c r="K48" i="49" s="1"/>
  <c r="I49" i="49"/>
  <c r="I48" i="49" s="1"/>
  <c r="H49" i="49"/>
  <c r="H48" i="49" s="1"/>
  <c r="F49" i="49"/>
  <c r="F48" i="49" s="1"/>
  <c r="C49" i="49"/>
  <c r="E49" i="49" s="1"/>
  <c r="E48" i="49" s="1"/>
  <c r="K45" i="49"/>
  <c r="I45" i="49"/>
  <c r="H45" i="49"/>
  <c r="F45" i="49"/>
  <c r="C45" i="49"/>
  <c r="E45" i="49" s="1"/>
  <c r="K43" i="49"/>
  <c r="I43" i="49"/>
  <c r="H43" i="49"/>
  <c r="F43" i="49"/>
  <c r="C43" i="49"/>
  <c r="E43" i="49" s="1"/>
  <c r="K41" i="49"/>
  <c r="I41" i="49"/>
  <c r="H41" i="49"/>
  <c r="F41" i="49"/>
  <c r="C41" i="49"/>
  <c r="E41" i="49" s="1"/>
  <c r="K37" i="49"/>
  <c r="I37" i="49"/>
  <c r="H37" i="49"/>
  <c r="F37" i="49"/>
  <c r="C37" i="49"/>
  <c r="E37" i="49" s="1"/>
  <c r="K34" i="49"/>
  <c r="I34" i="49"/>
  <c r="H34" i="49"/>
  <c r="F34" i="49"/>
  <c r="C34" i="49"/>
  <c r="K32" i="49"/>
  <c r="I32" i="49"/>
  <c r="H32" i="49"/>
  <c r="F32" i="49"/>
  <c r="C32" i="49"/>
  <c r="E32" i="49" s="1"/>
  <c r="K29" i="49"/>
  <c r="I29" i="49"/>
  <c r="H29" i="49"/>
  <c r="F29" i="49"/>
  <c r="C29" i="49"/>
  <c r="E29" i="49" s="1"/>
  <c r="K27" i="49"/>
  <c r="I27" i="49"/>
  <c r="H27" i="49"/>
  <c r="F27" i="49"/>
  <c r="C27" i="49"/>
  <c r="K19" i="49"/>
  <c r="K18" i="49" s="1"/>
  <c r="I19" i="49"/>
  <c r="I18" i="49" s="1"/>
  <c r="H19" i="49"/>
  <c r="H18" i="49" s="1"/>
  <c r="F19" i="49"/>
  <c r="F18" i="49" s="1"/>
  <c r="D19" i="49"/>
  <c r="D18" i="49" s="1"/>
  <c r="C19" i="49"/>
  <c r="K13" i="49"/>
  <c r="K12" i="49" s="1"/>
  <c r="I13" i="49"/>
  <c r="I12" i="49" s="1"/>
  <c r="H13" i="49"/>
  <c r="H12" i="49" s="1"/>
  <c r="F13" i="49"/>
  <c r="F12" i="49" s="1"/>
  <c r="C13" i="49"/>
  <c r="E40" i="49" l="1"/>
  <c r="I31" i="49"/>
  <c r="I24" i="49"/>
  <c r="H31" i="49"/>
  <c r="C40" i="49"/>
  <c r="C48" i="49"/>
  <c r="E61" i="49"/>
  <c r="I60" i="49"/>
  <c r="I47" i="49" s="1"/>
  <c r="C106" i="49"/>
  <c r="F40" i="49"/>
  <c r="D115" i="49"/>
  <c r="D106" i="49"/>
  <c r="D96" i="49" s="1"/>
  <c r="D95" i="49" s="1"/>
  <c r="H24" i="49"/>
  <c r="K24" i="49"/>
  <c r="C24" i="49"/>
  <c r="E27" i="49"/>
  <c r="E24" i="49" s="1"/>
  <c r="C31" i="49"/>
  <c r="E34" i="49"/>
  <c r="E31" i="49" s="1"/>
  <c r="I40" i="49"/>
  <c r="I11" i="49" s="1"/>
  <c r="C55" i="49"/>
  <c r="E56" i="49"/>
  <c r="E55" i="49" s="1"/>
  <c r="C18" i="49"/>
  <c r="E19" i="49"/>
  <c r="E18" i="49" s="1"/>
  <c r="J106" i="49"/>
  <c r="E170" i="49"/>
  <c r="E169" i="49" s="1"/>
  <c r="C12" i="49"/>
  <c r="E13" i="49"/>
  <c r="E12" i="49" s="1"/>
  <c r="D66" i="49"/>
  <c r="E198" i="49"/>
  <c r="E195" i="49" s="1"/>
  <c r="F66" i="49"/>
  <c r="H97" i="49"/>
  <c r="F31" i="49"/>
  <c r="C169" i="49"/>
  <c r="I169" i="49"/>
  <c r="F24" i="49"/>
  <c r="K31" i="49"/>
  <c r="H40" i="49"/>
  <c r="K40" i="49"/>
  <c r="K11" i="49" s="1"/>
  <c r="F60" i="49"/>
  <c r="K97" i="49"/>
  <c r="F106" i="49"/>
  <c r="K170" i="49"/>
  <c r="K169" i="49" s="1"/>
  <c r="F169" i="49"/>
  <c r="H60" i="49"/>
  <c r="H170" i="49"/>
  <c r="H169" i="49" s="1"/>
  <c r="K60" i="49"/>
  <c r="H142" i="49"/>
  <c r="H106" i="49" s="1"/>
  <c r="J96" i="49"/>
  <c r="J95" i="49" s="1"/>
  <c r="J215" i="49" s="1"/>
  <c r="I106" i="49"/>
  <c r="K106" i="49"/>
  <c r="G106" i="49"/>
  <c r="G96" i="49" s="1"/>
  <c r="G95" i="49" s="1"/>
  <c r="G215" i="49" s="1"/>
  <c r="D60" i="49"/>
  <c r="D11" i="49"/>
  <c r="E60" i="49"/>
  <c r="C60" i="49"/>
  <c r="E142" i="49"/>
  <c r="E106" i="49" s="1"/>
  <c r="C66" i="49"/>
  <c r="E66" i="49"/>
  <c r="H66" i="49"/>
  <c r="K66" i="49"/>
  <c r="H11" i="49" l="1"/>
  <c r="F11" i="49"/>
  <c r="E11" i="49"/>
  <c r="I10" i="49"/>
  <c r="C11" i="49"/>
  <c r="F216" i="49"/>
  <c r="E96" i="49"/>
  <c r="K96" i="49"/>
  <c r="K95" i="49" s="1"/>
  <c r="F96" i="49"/>
  <c r="F95" i="49" s="1"/>
  <c r="F47" i="49"/>
  <c r="D47" i="49"/>
  <c r="D10" i="49" s="1"/>
  <c r="D215" i="49" s="1"/>
  <c r="H47" i="49"/>
  <c r="H10" i="49" s="1"/>
  <c r="I96" i="49"/>
  <c r="I95" i="49" s="1"/>
  <c r="C96" i="49"/>
  <c r="C95" i="49" s="1"/>
  <c r="K47" i="49"/>
  <c r="K10" i="49" s="1"/>
  <c r="H96" i="49"/>
  <c r="H95" i="49" s="1"/>
  <c r="H216" i="49"/>
  <c r="C47" i="49"/>
  <c r="K216" i="49"/>
  <c r="I216" i="49"/>
  <c r="E47" i="49"/>
  <c r="E10" i="49" s="1"/>
  <c r="F10" i="49" l="1"/>
  <c r="C10" i="49"/>
  <c r="K215" i="49"/>
  <c r="I215" i="49"/>
  <c r="H215" i="49"/>
  <c r="H217" i="49" s="1"/>
  <c r="F215" i="49"/>
  <c r="F217" i="49" s="1"/>
  <c r="N96" i="49"/>
  <c r="E95" i="49"/>
  <c r="E215" i="49" s="1"/>
  <c r="C215" i="49"/>
  <c r="G509" i="54"/>
  <c r="E344" i="32"/>
  <c r="E339" i="32" s="1"/>
  <c r="F345" i="32"/>
  <c r="F344" i="32" s="1"/>
  <c r="F659" i="32" l="1"/>
  <c r="F658" i="32"/>
  <c r="D657" i="32"/>
  <c r="H134" i="54"/>
  <c r="E657" i="32"/>
  <c r="F657" i="32" l="1"/>
  <c r="H135" i="54"/>
  <c r="H133" i="54" s="1"/>
  <c r="F420" i="32" l="1"/>
  <c r="F419" i="32"/>
  <c r="D418" i="32"/>
  <c r="E418" i="32"/>
  <c r="F417" i="32" l="1"/>
  <c r="F418" i="32"/>
  <c r="H965" i="54"/>
  <c r="H964" i="54" s="1"/>
  <c r="H963" i="54" s="1"/>
  <c r="H962" i="54" s="1"/>
  <c r="H961" i="54" s="1"/>
  <c r="E530" i="32" l="1"/>
  <c r="E528" i="32" s="1"/>
  <c r="E529" i="32" l="1"/>
  <c r="H118" i="54"/>
  <c r="F889" i="54"/>
  <c r="H613" i="54"/>
  <c r="H612" i="54" s="1"/>
  <c r="F647" i="32"/>
  <c r="G871" i="54" l="1"/>
  <c r="H872" i="54"/>
  <c r="H871" i="54" s="1"/>
  <c r="H688" i="54"/>
  <c r="H660" i="54"/>
  <c r="G709" i="54"/>
  <c r="G704" i="54" s="1"/>
  <c r="G703" i="54" s="1"/>
  <c r="G702" i="54" s="1"/>
  <c r="H710" i="54"/>
  <c r="G743" i="54"/>
  <c r="H501" i="54"/>
  <c r="G495" i="54"/>
  <c r="G508" i="54"/>
  <c r="G507" i="54" s="1"/>
  <c r="G506" i="54" s="1"/>
  <c r="G505" i="54" s="1"/>
  <c r="H511" i="54"/>
  <c r="G389" i="54"/>
  <c r="H390" i="54"/>
  <c r="G383" i="54"/>
  <c r="H365" i="54"/>
  <c r="H366" i="54"/>
  <c r="H431" i="54"/>
  <c r="G430" i="54"/>
  <c r="G382" i="54" l="1"/>
  <c r="H77" i="54"/>
  <c r="G75" i="54"/>
  <c r="G72" i="54"/>
  <c r="G25" i="54"/>
  <c r="F139" i="32"/>
  <c r="F640" i="32"/>
  <c r="F683" i="32"/>
  <c r="F496" i="32"/>
  <c r="F495" i="32" s="1"/>
  <c r="E497" i="32"/>
  <c r="E492" i="32" s="1"/>
  <c r="F494" i="32"/>
  <c r="F493" i="32" s="1"/>
  <c r="F430" i="32"/>
  <c r="F429" i="32" s="1"/>
  <c r="E311" i="32"/>
  <c r="F312" i="32"/>
  <c r="F311" i="32" s="1"/>
  <c r="F187" i="32"/>
  <c r="E17" i="32"/>
  <c r="E16" i="32" s="1"/>
  <c r="E14" i="32"/>
  <c r="E13" i="32" s="1"/>
  <c r="E290" i="32" l="1"/>
  <c r="F389" i="54"/>
  <c r="F382" i="54" s="1"/>
  <c r="F414" i="54"/>
  <c r="F449" i="54"/>
  <c r="F509" i="54"/>
  <c r="F529" i="54"/>
  <c r="F750" i="54"/>
  <c r="F464" i="32"/>
  <c r="F508" i="54" l="1"/>
  <c r="F507" i="54" s="1"/>
  <c r="F506" i="54" s="1"/>
  <c r="F505" i="54" s="1"/>
  <c r="F773" i="54"/>
  <c r="H774" i="54"/>
  <c r="D26" i="32"/>
  <c r="J37" i="32"/>
  <c r="G37" i="32"/>
  <c r="G45" i="32"/>
  <c r="D45" i="32"/>
  <c r="D163" i="32"/>
  <c r="D344" i="32"/>
  <c r="D413" i="32"/>
  <c r="D497" i="32"/>
  <c r="D492" i="32" s="1"/>
  <c r="D676" i="32"/>
  <c r="H169" i="54" l="1"/>
  <c r="G168" i="54"/>
  <c r="G200" i="54"/>
  <c r="G199" i="54" s="1"/>
  <c r="G198" i="54" s="1"/>
  <c r="H201" i="54"/>
  <c r="G161" i="54"/>
  <c r="H162" i="54"/>
  <c r="G151" i="54"/>
  <c r="H152" i="54"/>
  <c r="H150" i="54"/>
  <c r="G149" i="54"/>
  <c r="E581" i="32"/>
  <c r="E587" i="32"/>
  <c r="E586" i="32" s="1"/>
  <c r="E574" i="32"/>
  <c r="M34" i="54"/>
  <c r="L34" i="54"/>
  <c r="J34" i="54"/>
  <c r="I34" i="54"/>
  <c r="G34" i="54"/>
  <c r="N35" i="54"/>
  <c r="N34" i="54" s="1"/>
  <c r="K35" i="54"/>
  <c r="K34" i="54" s="1"/>
  <c r="M37" i="54"/>
  <c r="L37" i="54"/>
  <c r="J37" i="54"/>
  <c r="I37" i="54"/>
  <c r="G37" i="54"/>
  <c r="N38" i="54"/>
  <c r="N37" i="54" s="1"/>
  <c r="K38" i="54"/>
  <c r="K37" i="54" s="1"/>
  <c r="M42" i="54"/>
  <c r="L42" i="54"/>
  <c r="J42" i="54"/>
  <c r="I42" i="54"/>
  <c r="G42" i="54"/>
  <c r="N43" i="54"/>
  <c r="N42" i="54" s="1"/>
  <c r="K43" i="54"/>
  <c r="K42" i="54" s="1"/>
  <c r="H43" i="54"/>
  <c r="H42" i="54" s="1"/>
  <c r="M52" i="54"/>
  <c r="L52" i="54"/>
  <c r="J52" i="54"/>
  <c r="I52" i="54"/>
  <c r="G52" i="54"/>
  <c r="N53" i="54"/>
  <c r="N52" i="54" s="1"/>
  <c r="K53" i="54"/>
  <c r="K52" i="54" s="1"/>
  <c r="H53" i="54"/>
  <c r="H52" i="54" s="1"/>
  <c r="K37" i="32"/>
  <c r="L38" i="32"/>
  <c r="I38" i="32"/>
  <c r="H37" i="32"/>
  <c r="E37" i="32"/>
  <c r="L41" i="32"/>
  <c r="L40" i="32" s="1"/>
  <c r="I41" i="32"/>
  <c r="I40" i="32" s="1"/>
  <c r="K40" i="32"/>
  <c r="H40" i="32"/>
  <c r="E40" i="32"/>
  <c r="L46" i="32"/>
  <c r="I46" i="32"/>
  <c r="F46" i="32"/>
  <c r="L232" i="32"/>
  <c r="I232" i="32"/>
  <c r="F232" i="32"/>
  <c r="E650" i="32"/>
  <c r="G33" i="54" l="1"/>
  <c r="F320" i="32" l="1"/>
  <c r="F503" i="32"/>
  <c r="E502" i="32"/>
  <c r="H479" i="54"/>
  <c r="G478" i="54"/>
  <c r="M741" i="54" l="1"/>
  <c r="M739" i="54"/>
  <c r="J741" i="54"/>
  <c r="J739" i="54"/>
  <c r="G741" i="54"/>
  <c r="G739" i="54"/>
  <c r="M600" i="54"/>
  <c r="M595" i="54" s="1"/>
  <c r="M594" i="54" s="1"/>
  <c r="J600" i="54"/>
  <c r="J595" i="54" s="1"/>
  <c r="J594" i="54" s="1"/>
  <c r="K77" i="32"/>
  <c r="K74" i="32" s="1"/>
  <c r="K73" i="32" s="1"/>
  <c r="H77" i="32"/>
  <c r="H74" i="32" s="1"/>
  <c r="H73" i="32" s="1"/>
  <c r="L164" i="32"/>
  <c r="I164" i="32"/>
  <c r="H414" i="54"/>
  <c r="G414" i="54"/>
  <c r="F413" i="32"/>
  <c r="E413" i="32"/>
  <c r="F677" i="32"/>
  <c r="F676" i="32" s="1"/>
  <c r="E676" i="32"/>
  <c r="H19" i="54"/>
  <c r="G18" i="54"/>
  <c r="G17" i="54" s="1"/>
  <c r="G16" i="54" s="1"/>
  <c r="E163" i="32" l="1"/>
  <c r="E162" i="32" s="1"/>
  <c r="M24" i="54" l="1"/>
  <c r="M23" i="54" s="1"/>
  <c r="J24" i="54"/>
  <c r="J23" i="54" s="1"/>
  <c r="M626" i="54"/>
  <c r="M625" i="54" s="1"/>
  <c r="M622" i="54" s="1"/>
  <c r="J626" i="54"/>
  <c r="J625" i="54" s="1"/>
  <c r="J622" i="54" s="1"/>
  <c r="K94" i="32"/>
  <c r="K90" i="32" s="1"/>
  <c r="H94" i="32"/>
  <c r="H90" i="32" s="1"/>
  <c r="F95" i="32"/>
  <c r="G528" i="54"/>
  <c r="H529" i="54"/>
  <c r="H528" i="54" s="1"/>
  <c r="N58" i="54"/>
  <c r="K58" i="54"/>
  <c r="H58" i="54"/>
  <c r="M57" i="54"/>
  <c r="M56" i="54" s="1"/>
  <c r="M55" i="54" s="1"/>
  <c r="J57" i="54"/>
  <c r="J56" i="54" s="1"/>
  <c r="J55" i="54" s="1"/>
  <c r="N51" i="54"/>
  <c r="N50" i="54" s="1"/>
  <c r="M51" i="54"/>
  <c r="M50" i="54" s="1"/>
  <c r="L51" i="54"/>
  <c r="L50" i="54" s="1"/>
  <c r="K51" i="54"/>
  <c r="K50" i="54" s="1"/>
  <c r="J51" i="54"/>
  <c r="J50" i="54" s="1"/>
  <c r="I51" i="54"/>
  <c r="I50" i="54" s="1"/>
  <c r="K46" i="54"/>
  <c r="N46" i="54"/>
  <c r="N45" i="54" s="1"/>
  <c r="L231" i="32"/>
  <c r="K231" i="32"/>
  <c r="K226" i="32" s="1"/>
  <c r="J231" i="32"/>
  <c r="I231" i="32"/>
  <c r="H231" i="32"/>
  <c r="H226" i="32" s="1"/>
  <c r="G231" i="32"/>
  <c r="F231" i="32"/>
  <c r="E231" i="32"/>
  <c r="K630" i="32"/>
  <c r="K621" i="32" s="1"/>
  <c r="H630" i="32"/>
  <c r="H621" i="32" s="1"/>
  <c r="L656" i="32"/>
  <c r="I656" i="32"/>
  <c r="F656" i="32"/>
  <c r="K45" i="32"/>
  <c r="J45" i="32"/>
  <c r="H45" i="32"/>
  <c r="E45" i="32"/>
  <c r="L45" i="32"/>
  <c r="I45" i="32"/>
  <c r="F45" i="32"/>
  <c r="I52" i="32"/>
  <c r="L52" i="32"/>
  <c r="F52" i="32"/>
  <c r="K51" i="32"/>
  <c r="H51" i="32"/>
  <c r="E51" i="32"/>
  <c r="L37" i="32"/>
  <c r="I37" i="32"/>
  <c r="I491" i="54"/>
  <c r="I94" i="54"/>
  <c r="I93" i="54" s="1"/>
  <c r="I219" i="54"/>
  <c r="L491" i="54"/>
  <c r="M682" i="54"/>
  <c r="J682" i="54"/>
  <c r="G682" i="54"/>
  <c r="M825" i="54"/>
  <c r="J825" i="54"/>
  <c r="G825" i="54"/>
  <c r="F825" i="54"/>
  <c r="J109" i="32"/>
  <c r="G109" i="32"/>
  <c r="J121" i="32"/>
  <c r="J150" i="32"/>
  <c r="H509" i="54"/>
  <c r="E36" i="32" l="1"/>
  <c r="H508" i="54"/>
  <c r="H507" i="54" s="1"/>
  <c r="H506" i="54" s="1"/>
  <c r="H505" i="54" s="1"/>
  <c r="J33" i="54"/>
  <c r="J32" i="54" s="1"/>
  <c r="J22" i="54" s="1"/>
  <c r="J21" i="54" s="1"/>
  <c r="J20" i="54" s="1"/>
  <c r="J7" i="54" s="1"/>
  <c r="M33" i="54"/>
  <c r="M32" i="54" s="1"/>
  <c r="M22" i="54" s="1"/>
  <c r="M21" i="54" s="1"/>
  <c r="M20" i="54" s="1"/>
  <c r="M7" i="54" s="1"/>
  <c r="K36" i="32"/>
  <c r="K35" i="32" s="1"/>
  <c r="K8" i="32" s="1"/>
  <c r="H36" i="32"/>
  <c r="H35" i="32" s="1"/>
  <c r="H8" i="32" s="1"/>
  <c r="F681" i="32"/>
  <c r="G316" i="54"/>
  <c r="G309" i="54" s="1"/>
  <c r="E256" i="32"/>
  <c r="F257" i="32"/>
  <c r="H389" i="54" l="1"/>
  <c r="H382" i="54" s="1"/>
  <c r="H597" i="54"/>
  <c r="G596" i="54"/>
  <c r="F83" i="32"/>
  <c r="E82" i="32"/>
  <c r="H773" i="54"/>
  <c r="E338" i="32"/>
  <c r="H449" i="54"/>
  <c r="H371" i="54"/>
  <c r="H370" i="54" s="1"/>
  <c r="F487" i="32"/>
  <c r="F454" i="32"/>
  <c r="H752" i="54"/>
  <c r="F163" i="54"/>
  <c r="F433" i="54"/>
  <c r="H433" i="54"/>
  <c r="F453" i="54"/>
  <c r="F452" i="54" s="1"/>
  <c r="F687" i="54"/>
  <c r="F699" i="54"/>
  <c r="F834" i="54"/>
  <c r="F833" i="54" s="1"/>
  <c r="F880" i="54"/>
  <c r="D442" i="32"/>
  <c r="D37" i="32"/>
  <c r="D109" i="32"/>
  <c r="D150" i="32"/>
  <c r="D324" i="32"/>
  <c r="D322" i="32" s="1"/>
  <c r="D331" i="32"/>
  <c r="D330" i="32" s="1"/>
  <c r="D433" i="32"/>
  <c r="D509" i="32"/>
  <c r="D576" i="32"/>
  <c r="D648" i="32"/>
  <c r="G767" i="54" l="1"/>
  <c r="G766" i="54" s="1"/>
  <c r="G765" i="54" s="1"/>
  <c r="G764" i="54" s="1"/>
  <c r="F498" i="32"/>
  <c r="F497" i="32" s="1"/>
  <c r="F492" i="32" s="1"/>
  <c r="D441" i="32"/>
  <c r="H750" i="54"/>
  <c r="G370" i="54"/>
  <c r="E486" i="32"/>
  <c r="G964" i="54" l="1"/>
  <c r="G963" i="54" s="1"/>
  <c r="G962" i="54" s="1"/>
  <c r="G961" i="54" s="1"/>
  <c r="G616" i="54" l="1"/>
  <c r="H617" i="54"/>
  <c r="M491" i="54"/>
  <c r="J491" i="54"/>
  <c r="K121" i="32"/>
  <c r="H121" i="32"/>
  <c r="M681" i="54"/>
  <c r="M680" i="54" s="1"/>
  <c r="M679" i="54" s="1"/>
  <c r="M678" i="54" s="1"/>
  <c r="J681" i="54"/>
  <c r="J680" i="54" s="1"/>
  <c r="J679" i="54" s="1"/>
  <c r="J678" i="54" s="1"/>
  <c r="M824" i="54"/>
  <c r="M823" i="54" s="1"/>
  <c r="M822" i="54" s="1"/>
  <c r="M821" i="54" s="1"/>
  <c r="J824" i="54"/>
  <c r="J823" i="54" s="1"/>
  <c r="J822" i="54" s="1"/>
  <c r="J821" i="54" s="1"/>
  <c r="H146" i="32"/>
  <c r="K146" i="32"/>
  <c r="K145" i="32" s="1"/>
  <c r="K144" i="32" s="1"/>
  <c r="L150" i="32"/>
  <c r="I150" i="32"/>
  <c r="H150" i="32"/>
  <c r="H453" i="54"/>
  <c r="H452" i="54" s="1"/>
  <c r="G824" i="54"/>
  <c r="F31" i="32"/>
  <c r="F32" i="32"/>
  <c r="G681" i="54"/>
  <c r="G680" i="54" s="1"/>
  <c r="G679" i="54" s="1"/>
  <c r="G678" i="54" s="1"/>
  <c r="H145" i="32" l="1"/>
  <c r="H144" i="32" s="1"/>
  <c r="G823" i="54"/>
  <c r="H832" i="54"/>
  <c r="G831" i="54"/>
  <c r="G830" i="54" s="1"/>
  <c r="H834" i="54"/>
  <c r="H833" i="54" s="1"/>
  <c r="E327" i="32"/>
  <c r="F329" i="32"/>
  <c r="F331" i="32"/>
  <c r="F330" i="32" s="1"/>
  <c r="G829" i="54" l="1"/>
  <c r="G828" i="54" s="1"/>
  <c r="G822" i="54" s="1"/>
  <c r="G821" i="54" s="1"/>
  <c r="E326" i="32"/>
  <c r="H687" i="54" l="1"/>
  <c r="F154" i="32"/>
  <c r="N353" i="54"/>
  <c r="K353" i="54"/>
  <c r="M352" i="54"/>
  <c r="M351" i="54" s="1"/>
  <c r="M346" i="54" s="1"/>
  <c r="M345" i="54" s="1"/>
  <c r="M330" i="54" s="1"/>
  <c r="M329" i="54" s="1"/>
  <c r="M328" i="54" s="1"/>
  <c r="M301" i="54" s="1"/>
  <c r="J352" i="54"/>
  <c r="J351" i="54" s="1"/>
  <c r="J346" i="54" s="1"/>
  <c r="J345" i="54" s="1"/>
  <c r="J330" i="54" s="1"/>
  <c r="J329" i="54" s="1"/>
  <c r="J328" i="54" s="1"/>
  <c r="H410" i="32" l="1"/>
  <c r="F646" i="32" l="1"/>
  <c r="H117" i="54"/>
  <c r="G433" i="54" l="1"/>
  <c r="E433" i="32"/>
  <c r="H171" i="54"/>
  <c r="H172" i="54"/>
  <c r="G170" i="54"/>
  <c r="F584" i="32"/>
  <c r="F585" i="32"/>
  <c r="E583" i="32"/>
  <c r="H71" i="54"/>
  <c r="G70" i="54"/>
  <c r="G69" i="54" s="1"/>
  <c r="G68" i="54" s="1"/>
  <c r="G67" i="54" s="1"/>
  <c r="H481" i="54"/>
  <c r="G480" i="54"/>
  <c r="F505" i="32"/>
  <c r="E504" i="32"/>
  <c r="E501" i="32" s="1"/>
  <c r="E11" i="32"/>
  <c r="E10" i="32" s="1"/>
  <c r="E9" i="32" s="1"/>
  <c r="F12" i="32"/>
  <c r="G477" i="54" l="1"/>
  <c r="G476" i="54" s="1"/>
  <c r="F583" i="32"/>
  <c r="G163" i="54"/>
  <c r="E576" i="32"/>
  <c r="E573" i="32" s="1"/>
  <c r="G897" i="54"/>
  <c r="G896" i="54" s="1"/>
  <c r="G895" i="54" s="1"/>
  <c r="H898" i="54"/>
  <c r="E280" i="32"/>
  <c r="F282" i="32"/>
  <c r="G932" i="54"/>
  <c r="G931" i="54" s="1"/>
  <c r="G930" i="54" s="1"/>
  <c r="G929" i="54" s="1"/>
  <c r="G928" i="54" s="1"/>
  <c r="G927" i="54" s="1"/>
  <c r="G926" i="54" s="1"/>
  <c r="H933" i="54"/>
  <c r="F337" i="32"/>
  <c r="F279" i="32"/>
  <c r="E278" i="32"/>
  <c r="E277" i="32" s="1"/>
  <c r="H814" i="54"/>
  <c r="G813" i="54"/>
  <c r="G812" i="54" s="1"/>
  <c r="E268" i="32"/>
  <c r="F269" i="32"/>
  <c r="H847" i="54"/>
  <c r="G845" i="54"/>
  <c r="H844" i="54"/>
  <c r="H854" i="54"/>
  <c r="G853" i="54"/>
  <c r="G852" i="54" s="1"/>
  <c r="E275" i="32"/>
  <c r="E274" i="32" s="1"/>
  <c r="F276" i="32"/>
  <c r="G843" i="54"/>
  <c r="G842" i="54" s="1"/>
  <c r="E265" i="32"/>
  <c r="E264" i="32" s="1"/>
  <c r="F266" i="32"/>
  <c r="H114" i="54"/>
  <c r="G113" i="54"/>
  <c r="E642" i="32"/>
  <c r="F643" i="32"/>
  <c r="E644" i="32"/>
  <c r="F645" i="32"/>
  <c r="G115" i="54"/>
  <c r="H116" i="54"/>
  <c r="F632" i="32"/>
  <c r="H298" i="54"/>
  <c r="E569" i="32"/>
  <c r="F570" i="32"/>
  <c r="G153" i="54"/>
  <c r="G148" i="54" s="1"/>
  <c r="G147" i="54" s="1"/>
  <c r="G146" i="54" s="1"/>
  <c r="G145" i="54" s="1"/>
  <c r="H154" i="54"/>
  <c r="H300" i="54"/>
  <c r="G297" i="54"/>
  <c r="G296" i="54" s="1"/>
  <c r="H618" i="32" l="1"/>
  <c r="H617" i="32" s="1"/>
  <c r="H616" i="32" s="1"/>
  <c r="J218" i="54"/>
  <c r="J217" i="54" s="1"/>
  <c r="H39" i="54"/>
  <c r="F42" i="32"/>
  <c r="H35" i="54"/>
  <c r="H36" i="54"/>
  <c r="F38" i="32"/>
  <c r="F39" i="32"/>
  <c r="H472" i="54"/>
  <c r="H474" i="54"/>
  <c r="F459" i="32"/>
  <c r="F457" i="32"/>
  <c r="H700" i="54"/>
  <c r="H701" i="54"/>
  <c r="E145" i="32"/>
  <c r="E144" i="32" s="1"/>
  <c r="F150" i="32"/>
  <c r="F146" i="32"/>
  <c r="G119" i="54"/>
  <c r="F648" i="32"/>
  <c r="H34" i="54" l="1"/>
  <c r="F37" i="32"/>
  <c r="H615" i="32"/>
  <c r="J216" i="54"/>
  <c r="J204" i="54" s="1"/>
  <c r="J203" i="54" s="1"/>
  <c r="H699" i="54"/>
  <c r="L467" i="32" l="1"/>
  <c r="I467" i="32"/>
  <c r="K466" i="32"/>
  <c r="K465" i="32" s="1"/>
  <c r="K463" i="32"/>
  <c r="H466" i="32"/>
  <c r="H465" i="32" s="1"/>
  <c r="H463" i="32"/>
  <c r="G180" i="54"/>
  <c r="H181" i="54"/>
  <c r="E236" i="32"/>
  <c r="E235" i="32" s="1"/>
  <c r="E234" i="32" s="1"/>
  <c r="H234" i="32"/>
  <c r="J529" i="54"/>
  <c r="J528" i="54" s="1"/>
  <c r="J527" i="54" s="1"/>
  <c r="G527" i="54"/>
  <c r="K492" i="54"/>
  <c r="M490" i="54"/>
  <c r="M489" i="54" s="1"/>
  <c r="M488" i="54" s="1"/>
  <c r="M487" i="54" s="1"/>
  <c r="M486" i="54" s="1"/>
  <c r="M485" i="54" s="1"/>
  <c r="M484" i="54" s="1"/>
  <c r="N492" i="54"/>
  <c r="N491" i="54" s="1"/>
  <c r="J490" i="54"/>
  <c r="J489" i="54" s="1"/>
  <c r="J488" i="54" s="1"/>
  <c r="J487" i="54" s="1"/>
  <c r="J486" i="54" s="1"/>
  <c r="J485" i="54" s="1"/>
  <c r="J484" i="54" s="1"/>
  <c r="G491" i="54"/>
  <c r="G490" i="54" s="1"/>
  <c r="G489" i="54" s="1"/>
  <c r="G488" i="54" s="1"/>
  <c r="G487" i="54" s="1"/>
  <c r="G486" i="54" s="1"/>
  <c r="K494" i="54"/>
  <c r="H494" i="54"/>
  <c r="I124" i="32"/>
  <c r="F124" i="32"/>
  <c r="L122" i="32"/>
  <c r="L121" i="32" s="1"/>
  <c r="K120" i="32"/>
  <c r="K119" i="32" s="1"/>
  <c r="I122" i="32"/>
  <c r="H120" i="32"/>
  <c r="H119" i="32" s="1"/>
  <c r="E121" i="32"/>
  <c r="E120" i="32" s="1"/>
  <c r="E119" i="32" s="1"/>
  <c r="G614" i="54"/>
  <c r="H615" i="54"/>
  <c r="F184" i="32"/>
  <c r="F183" i="32"/>
  <c r="F185" i="32"/>
  <c r="F186" i="32"/>
  <c r="H666" i="54"/>
  <c r="G665" i="54"/>
  <c r="H665" i="54" s="1"/>
  <c r="G611" i="54" l="1"/>
  <c r="G610" i="54" s="1"/>
  <c r="K491" i="54"/>
  <c r="K462" i="32"/>
  <c r="K461" i="32" s="1"/>
  <c r="K386" i="32" s="1"/>
  <c r="H462" i="32"/>
  <c r="H461" i="32" s="1"/>
  <c r="H386" i="32" s="1"/>
  <c r="G347" i="54"/>
  <c r="E463" i="32"/>
  <c r="E462" i="32" s="1"/>
  <c r="E625" i="32" l="1"/>
  <c r="E622" i="32" s="1"/>
  <c r="F626" i="32"/>
  <c r="F24" i="32"/>
  <c r="F23" i="32" s="1"/>
  <c r="E22" i="32" l="1"/>
  <c r="E21" i="32" s="1"/>
  <c r="H26" i="54"/>
  <c r="H25" i="54" s="1"/>
  <c r="H957" i="54"/>
  <c r="G956" i="54"/>
  <c r="G955" i="54" s="1"/>
  <c r="G954" i="54" s="1"/>
  <c r="G953" i="54" s="1"/>
  <c r="G952" i="54" s="1"/>
  <c r="G951" i="54" s="1"/>
  <c r="G950" i="54" s="1"/>
  <c r="G949" i="54" s="1"/>
  <c r="G941" i="54"/>
  <c r="G938" i="54" s="1"/>
  <c r="G937" i="54" s="1"/>
  <c r="G936" i="54" s="1"/>
  <c r="G935" i="54" s="1"/>
  <c r="G934" i="54" s="1"/>
  <c r="H942" i="54"/>
  <c r="G696" i="54"/>
  <c r="G695" i="54" s="1"/>
  <c r="G694" i="54" s="1"/>
  <c r="G693" i="54" s="1"/>
  <c r="G692" i="54" s="1"/>
  <c r="G691" i="54" s="1"/>
  <c r="H697" i="54"/>
  <c r="G13" i="54"/>
  <c r="G12" i="54" s="1"/>
  <c r="G32" i="54"/>
  <c r="H38" i="54"/>
  <c r="H37" i="54" s="1"/>
  <c r="H46" i="54"/>
  <c r="G51" i="54"/>
  <c r="G50" i="54" s="1"/>
  <c r="G177" i="54"/>
  <c r="G176" i="54" s="1"/>
  <c r="G175" i="54" s="1"/>
  <c r="G174" i="54" s="1"/>
  <c r="G173" i="54" s="1"/>
  <c r="H442" i="54"/>
  <c r="G57" i="54"/>
  <c r="G56" i="54" s="1"/>
  <c r="G55" i="54" s="1"/>
  <c r="F509" i="32"/>
  <c r="E509" i="32"/>
  <c r="H441" i="54" l="1"/>
  <c r="G10" i="54"/>
  <c r="G9" i="54" s="1"/>
  <c r="G8" i="54" s="1"/>
  <c r="G11" i="54"/>
  <c r="F365" i="32"/>
  <c r="E359" i="32"/>
  <c r="E358" i="32" s="1"/>
  <c r="E357" i="32" s="1"/>
  <c r="H465" i="54" l="1"/>
  <c r="G461" i="54"/>
  <c r="E520" i="32"/>
  <c r="E519" i="32" s="1"/>
  <c r="E518" i="32" s="1"/>
  <c r="G231" i="54"/>
  <c r="G230" i="54" s="1"/>
  <c r="G229" i="54" s="1"/>
  <c r="G228" i="54" s="1"/>
  <c r="G227" i="54" s="1"/>
  <c r="H232" i="54"/>
  <c r="E546" i="32"/>
  <c r="E545" i="32" s="1"/>
  <c r="E544" i="32" s="1"/>
  <c r="F547" i="32"/>
  <c r="E94" i="32" l="1"/>
  <c r="E93" i="32" s="1"/>
  <c r="G625" i="54"/>
  <c r="G622" i="54" s="1"/>
  <c r="G600" i="54"/>
  <c r="G595" i="54" s="1"/>
  <c r="G594" i="54" s="1"/>
  <c r="E77" i="32"/>
  <c r="E132" i="32"/>
  <c r="E90" i="32" l="1"/>
  <c r="G674" i="54"/>
  <c r="G673" i="54" s="1"/>
  <c r="G672" i="54" s="1"/>
  <c r="G671" i="54" s="1"/>
  <c r="G670" i="54" s="1"/>
  <c r="G669" i="54" s="1"/>
  <c r="E130" i="32"/>
  <c r="E129" i="32" s="1"/>
  <c r="E128" i="32" s="1"/>
  <c r="G762" i="54"/>
  <c r="G761" i="54" s="1"/>
  <c r="G760" i="54" s="1"/>
  <c r="G759" i="54" s="1"/>
  <c r="G758" i="54" s="1"/>
  <c r="G757" i="54" s="1"/>
  <c r="G109" i="54"/>
  <c r="G105" i="54" s="1"/>
  <c r="H110" i="54"/>
  <c r="H109" i="54" s="1"/>
  <c r="E638" i="32"/>
  <c r="F639" i="32"/>
  <c r="E80" i="32"/>
  <c r="F81" i="32"/>
  <c r="F80" i="32" s="1"/>
  <c r="K740" i="54" l="1"/>
  <c r="N740" i="54"/>
  <c r="N742" i="54"/>
  <c r="K742" i="54"/>
  <c r="H740" i="54"/>
  <c r="H742" i="54"/>
  <c r="K111" i="32"/>
  <c r="H111" i="32"/>
  <c r="E111" i="32"/>
  <c r="K109" i="32"/>
  <c r="H109" i="32"/>
  <c r="E109" i="32"/>
  <c r="M651" i="54"/>
  <c r="M650" i="54" s="1"/>
  <c r="M649" i="54" s="1"/>
  <c r="M648" i="54" s="1"/>
  <c r="J651" i="54"/>
  <c r="J650" i="54" s="1"/>
  <c r="J649" i="54" s="1"/>
  <c r="J648" i="54" s="1"/>
  <c r="G650" i="54"/>
  <c r="G649" i="54" s="1"/>
  <c r="G648" i="54" s="1"/>
  <c r="N652" i="54"/>
  <c r="K652" i="54"/>
  <c r="H652" i="54"/>
  <c r="M608" i="54"/>
  <c r="M607" i="54" s="1"/>
  <c r="M606" i="54" s="1"/>
  <c r="M593" i="54" s="1"/>
  <c r="M592" i="54" s="1"/>
  <c r="M591" i="54" s="1"/>
  <c r="N609" i="54"/>
  <c r="J608" i="54"/>
  <c r="J607" i="54" s="1"/>
  <c r="J606" i="54" s="1"/>
  <c r="J593" i="54" s="1"/>
  <c r="J592" i="54" s="1"/>
  <c r="J591" i="54" s="1"/>
  <c r="K609" i="54"/>
  <c r="G608" i="54"/>
  <c r="G607" i="54" s="1"/>
  <c r="G606" i="54" s="1"/>
  <c r="H609" i="54"/>
  <c r="N644" i="54"/>
  <c r="K644" i="54"/>
  <c r="M643" i="54"/>
  <c r="M642" i="54" s="1"/>
  <c r="M632" i="54" s="1"/>
  <c r="M621" i="54" s="1"/>
  <c r="J643" i="54"/>
  <c r="J642" i="54" s="1"/>
  <c r="J632" i="54" s="1"/>
  <c r="J621" i="54" s="1"/>
  <c r="G643" i="54"/>
  <c r="G642" i="54" s="1"/>
  <c r="G632" i="54" s="1"/>
  <c r="G621" i="54" s="1"/>
  <c r="H644" i="54"/>
  <c r="I112" i="32"/>
  <c r="L112" i="32"/>
  <c r="F112" i="32"/>
  <c r="L110" i="32"/>
  <c r="L109" i="32" s="1"/>
  <c r="I110" i="32"/>
  <c r="I109" i="32" s="1"/>
  <c r="F110" i="32"/>
  <c r="F109" i="32" s="1"/>
  <c r="L118" i="32"/>
  <c r="I118" i="32"/>
  <c r="K116" i="32"/>
  <c r="H116" i="32"/>
  <c r="E116" i="32"/>
  <c r="K163" i="32"/>
  <c r="K162" i="32" s="1"/>
  <c r="K156" i="32" s="1"/>
  <c r="H163" i="32"/>
  <c r="H162" i="32" s="1"/>
  <c r="H156" i="32" s="1"/>
  <c r="E156" i="32"/>
  <c r="L165" i="32"/>
  <c r="I165" i="32"/>
  <c r="F165" i="32"/>
  <c r="F163" i="32" s="1"/>
  <c r="F41" i="32"/>
  <c r="F40" i="32" s="1"/>
  <c r="H440" i="54"/>
  <c r="F440" i="32"/>
  <c r="F442" i="32"/>
  <c r="F441" i="32" s="1"/>
  <c r="E441" i="32"/>
  <c r="E689" i="32" l="1"/>
  <c r="K100" i="32"/>
  <c r="K89" i="32" s="1"/>
  <c r="K72" i="32" s="1"/>
  <c r="E438" i="32"/>
  <c r="H100" i="32"/>
  <c r="H89" i="32" s="1"/>
  <c r="H72" i="32" s="1"/>
  <c r="M620" i="54"/>
  <c r="M619" i="54" s="1"/>
  <c r="M618" i="54" s="1"/>
  <c r="M590" i="54" s="1"/>
  <c r="J738" i="54"/>
  <c r="J737" i="54" s="1"/>
  <c r="J732" i="54" s="1"/>
  <c r="J731" i="54" s="1"/>
  <c r="J730" i="54" s="1"/>
  <c r="J729" i="54" s="1"/>
  <c r="J620" i="54"/>
  <c r="J619" i="54" s="1"/>
  <c r="J618" i="54" s="1"/>
  <c r="J590" i="54" s="1"/>
  <c r="M738" i="54"/>
  <c r="M737" i="54" s="1"/>
  <c r="M732" i="54" s="1"/>
  <c r="M731" i="54" s="1"/>
  <c r="M730" i="54" s="1"/>
  <c r="M729" i="54" s="1"/>
  <c r="E35" i="32"/>
  <c r="F18" i="54"/>
  <c r="F17" i="54" s="1"/>
  <c r="F16" i="54" s="1"/>
  <c r="F29" i="54"/>
  <c r="F24" i="54" s="1"/>
  <c r="F96" i="54"/>
  <c r="F283" i="54"/>
  <c r="F282" i="54" s="1"/>
  <c r="F319" i="54"/>
  <c r="H319" i="54" s="1"/>
  <c r="H616" i="54"/>
  <c r="H614" i="54"/>
  <c r="F616" i="54"/>
  <c r="F614" i="54"/>
  <c r="F659" i="54"/>
  <c r="H662" i="54"/>
  <c r="F819" i="54"/>
  <c r="D230" i="32"/>
  <c r="D30" i="32"/>
  <c r="D259" i="32"/>
  <c r="D602" i="32"/>
  <c r="D601" i="32" s="1"/>
  <c r="D678" i="32"/>
  <c r="F611" i="54" l="1"/>
  <c r="F610" i="54" s="1"/>
  <c r="H611" i="54"/>
  <c r="H610" i="54" s="1"/>
  <c r="J573" i="54"/>
  <c r="M573" i="54"/>
  <c r="L401" i="32"/>
  <c r="H558" i="54" l="1"/>
  <c r="H18" i="54"/>
  <c r="H17" i="54" s="1"/>
  <c r="H16" i="54" s="1"/>
  <c r="H850" i="54" l="1"/>
  <c r="F272" i="32"/>
  <c r="E272" i="32"/>
  <c r="E267" i="32" s="1"/>
  <c r="H819" i="54"/>
  <c r="G815" i="54"/>
  <c r="G811" i="54" s="1"/>
  <c r="G810" i="54" s="1"/>
  <c r="G809" i="54" s="1"/>
  <c r="G808" i="54" s="1"/>
  <c r="G807" i="54" s="1"/>
  <c r="F214" i="32" l="1"/>
  <c r="E456" i="32"/>
  <c r="E74" i="32" l="1"/>
  <c r="E73" i="32" s="1"/>
  <c r="G661" i="54"/>
  <c r="E635" i="32"/>
  <c r="E630" i="32" s="1"/>
  <c r="H107" i="54"/>
  <c r="G738" i="54"/>
  <c r="G737" i="54" s="1"/>
  <c r="G732" i="54" s="1"/>
  <c r="G731" i="54" s="1"/>
  <c r="G730" i="54" s="1"/>
  <c r="G729" i="54" s="1"/>
  <c r="H744" i="54"/>
  <c r="F104" i="32"/>
  <c r="E103" i="32"/>
  <c r="E100" i="32" s="1"/>
  <c r="E89" i="32" s="1"/>
  <c r="G593" i="54"/>
  <c r="G592" i="54" s="1"/>
  <c r="G591" i="54" s="1"/>
  <c r="H659" i="54"/>
  <c r="G659" i="54"/>
  <c r="F178" i="32"/>
  <c r="E176" i="32"/>
  <c r="E175" i="32" s="1"/>
  <c r="E174" i="32" s="1"/>
  <c r="G656" i="54"/>
  <c r="G655" i="54" s="1"/>
  <c r="H658" i="54"/>
  <c r="G280" i="54"/>
  <c r="H281" i="54"/>
  <c r="H283" i="54"/>
  <c r="H282" i="54" s="1"/>
  <c r="E598" i="32"/>
  <c r="F600" i="32"/>
  <c r="F602" i="32"/>
  <c r="F601" i="32" s="1"/>
  <c r="G875" i="54"/>
  <c r="G873" i="54" s="1"/>
  <c r="H878" i="54"/>
  <c r="E317" i="32"/>
  <c r="E316" i="32" s="1"/>
  <c r="G654" i="54" l="1"/>
  <c r="G653" i="54" s="1"/>
  <c r="G620" i="54" s="1"/>
  <c r="G619" i="54" s="1"/>
  <c r="G618" i="54" s="1"/>
  <c r="G590" i="54" s="1"/>
  <c r="G573" i="54" s="1"/>
  <c r="E315" i="32"/>
  <c r="E173" i="32"/>
  <c r="G874" i="54"/>
  <c r="E72" i="32" l="1"/>
  <c r="F30" i="32"/>
  <c r="G29" i="54"/>
  <c r="G24" i="54" s="1"/>
  <c r="G23" i="54" s="1"/>
  <c r="G22" i="54" s="1"/>
  <c r="G21" i="54" s="1"/>
  <c r="G20" i="54" s="1"/>
  <c r="H29" i="54"/>
  <c r="F535" i="32"/>
  <c r="E524" i="32" l="1"/>
  <c r="E523" i="32" s="1"/>
  <c r="H425" i="54"/>
  <c r="H424" i="54" s="1"/>
  <c r="G425" i="54"/>
  <c r="G424" i="54" s="1"/>
  <c r="G346" i="54"/>
  <c r="F481" i="32"/>
  <c r="H96" i="54"/>
  <c r="H95" i="54" s="1"/>
  <c r="H94" i="54" s="1"/>
  <c r="H93" i="54" s="1"/>
  <c r="N94" i="54"/>
  <c r="N93" i="54" s="1"/>
  <c r="M94" i="54"/>
  <c r="L94" i="54"/>
  <c r="L93" i="54" s="1"/>
  <c r="K94" i="54"/>
  <c r="K93" i="54" s="1"/>
  <c r="J94" i="54"/>
  <c r="J93" i="54" s="1"/>
  <c r="G94" i="54"/>
  <c r="G93" i="54" s="1"/>
  <c r="G66" i="54" s="1"/>
  <c r="F95" i="54"/>
  <c r="F94" i="54" s="1"/>
  <c r="F93" i="54" s="1"/>
  <c r="G308" i="54"/>
  <c r="E259" i="32"/>
  <c r="F260" i="32"/>
  <c r="F259" i="32" s="1"/>
  <c r="H566" i="54"/>
  <c r="G565" i="54"/>
  <c r="G564" i="54" s="1"/>
  <c r="E226" i="32"/>
  <c r="F230" i="32"/>
  <c r="F318" i="54"/>
  <c r="F373" i="54"/>
  <c r="F372" i="54" s="1"/>
  <c r="F413" i="54"/>
  <c r="F499" i="54"/>
  <c r="M523" i="54"/>
  <c r="M522" i="54" s="1"/>
  <c r="J523" i="54"/>
  <c r="J522" i="54" s="1"/>
  <c r="J521" i="54" s="1"/>
  <c r="G523" i="54"/>
  <c r="G522" i="54" s="1"/>
  <c r="F862" i="54"/>
  <c r="F861" i="54" s="1"/>
  <c r="F867" i="54"/>
  <c r="F866" i="54" s="1"/>
  <c r="F875" i="54"/>
  <c r="F873" i="54" s="1"/>
  <c r="F912" i="54"/>
  <c r="F496" i="54" l="1"/>
  <c r="F495" i="54" s="1"/>
  <c r="F860" i="54"/>
  <c r="F874" i="54"/>
  <c r="D667" i="32"/>
  <c r="D665" i="32"/>
  <c r="F516" i="32"/>
  <c r="D489" i="32"/>
  <c r="D456" i="32"/>
  <c r="D317" i="32"/>
  <c r="D316" i="32" s="1"/>
  <c r="D307" i="32"/>
  <c r="D306" i="32" s="1"/>
  <c r="D302" i="32"/>
  <c r="D301" i="32" s="1"/>
  <c r="D258" i="32"/>
  <c r="D216" i="32"/>
  <c r="F213" i="32"/>
  <c r="D315" i="32" l="1"/>
  <c r="D299" i="32"/>
  <c r="E412" i="32" l="1"/>
  <c r="E411" i="32" s="1"/>
  <c r="H413" i="54"/>
  <c r="H412" i="54" s="1"/>
  <c r="G413" i="54"/>
  <c r="G412" i="54" s="1"/>
  <c r="H248" i="54"/>
  <c r="H249" i="54"/>
  <c r="G247" i="54"/>
  <c r="G246" i="54" s="1"/>
  <c r="G245" i="54" s="1"/>
  <c r="H243" i="54"/>
  <c r="H244" i="54"/>
  <c r="F531" i="32"/>
  <c r="F532" i="32"/>
  <c r="H373" i="54"/>
  <c r="H372" i="54" s="1"/>
  <c r="F489" i="32"/>
  <c r="F488" i="32" s="1"/>
  <c r="D488" i="32"/>
  <c r="G236" i="54" l="1"/>
  <c r="G235" i="54" s="1"/>
  <c r="G234" i="54" s="1"/>
  <c r="G233" i="54" s="1"/>
  <c r="G432" i="54"/>
  <c r="F433" i="32"/>
  <c r="E432" i="32"/>
  <c r="E688" i="32" s="1"/>
  <c r="H499" i="54"/>
  <c r="H496" i="54" s="1"/>
  <c r="F667" i="32"/>
  <c r="F665" i="32"/>
  <c r="G485" i="54" l="1"/>
  <c r="G484" i="54" s="1"/>
  <c r="H495" i="54"/>
  <c r="J309" i="54"/>
  <c r="J308" i="54" s="1"/>
  <c r="J303" i="54" s="1"/>
  <c r="J302" i="54" s="1"/>
  <c r="J301" i="54" s="1"/>
  <c r="J266" i="54"/>
  <c r="J265" i="54" s="1"/>
  <c r="J202" i="54" s="1"/>
  <c r="M202" i="54"/>
  <c r="G912" i="54"/>
  <c r="G911" i="54" s="1"/>
  <c r="G910" i="54" s="1"/>
  <c r="G909" i="54" s="1"/>
  <c r="G908" i="54" s="1"/>
  <c r="G907" i="54" s="1"/>
  <c r="G906" i="54" s="1"/>
  <c r="E8" i="32"/>
  <c r="E388" i="32"/>
  <c r="E387" i="32" s="1"/>
  <c r="G268" i="54"/>
  <c r="G267" i="54" s="1"/>
  <c r="H243" i="32" l="1"/>
  <c r="H242" i="32" s="1"/>
  <c r="G303" i="54"/>
  <c r="G302" i="54" s="1"/>
  <c r="H318" i="54"/>
  <c r="F258" i="32"/>
  <c r="E258" i="32"/>
  <c r="E243" i="32" l="1"/>
  <c r="E242" i="32" s="1"/>
  <c r="H420" i="54"/>
  <c r="N425" i="54"/>
  <c r="N424" i="54" s="1"/>
  <c r="L425" i="54"/>
  <c r="L424" i="54" s="1"/>
  <c r="K424" i="54"/>
  <c r="I424" i="54"/>
  <c r="E424" i="32"/>
  <c r="E423" i="32" s="1"/>
  <c r="H364" i="54"/>
  <c r="H363" i="54" s="1"/>
  <c r="F480" i="32"/>
  <c r="F479" i="32" s="1"/>
  <c r="E484" i="32"/>
  <c r="G368" i="54"/>
  <c r="G888" i="54"/>
  <c r="G887" i="54" s="1"/>
  <c r="G886" i="54" s="1"/>
  <c r="G885" i="54" s="1"/>
  <c r="G884" i="54" s="1"/>
  <c r="H890" i="54"/>
  <c r="H891" i="54"/>
  <c r="H914" i="54"/>
  <c r="G867" i="54"/>
  <c r="G866" i="54" s="1"/>
  <c r="H870" i="54"/>
  <c r="H869" i="54"/>
  <c r="H868" i="54"/>
  <c r="G862" i="54"/>
  <c r="G861" i="54" s="1"/>
  <c r="H865" i="54"/>
  <c r="H864" i="54"/>
  <c r="H863" i="54"/>
  <c r="H880" i="54"/>
  <c r="H875" i="54"/>
  <c r="H874" i="54" s="1"/>
  <c r="G471" i="54"/>
  <c r="G470" i="54" s="1"/>
  <c r="G469" i="54" s="1"/>
  <c r="G468" i="54" s="1"/>
  <c r="H459" i="54"/>
  <c r="H458" i="54"/>
  <c r="H460" i="54"/>
  <c r="G457" i="54"/>
  <c r="G456" i="54" s="1"/>
  <c r="G160" i="54"/>
  <c r="G159" i="54" s="1"/>
  <c r="G158" i="54" s="1"/>
  <c r="G157" i="54" s="1"/>
  <c r="G144" i="54" s="1"/>
  <c r="H164" i="54"/>
  <c r="H163" i="54" s="1"/>
  <c r="H290" i="54"/>
  <c r="H289" i="54"/>
  <c r="G288" i="54"/>
  <c r="G287" i="54" s="1"/>
  <c r="G279" i="54" s="1"/>
  <c r="G104" i="54"/>
  <c r="H121" i="54"/>
  <c r="E483" i="32" l="1"/>
  <c r="E461" i="32" s="1"/>
  <c r="H889" i="54"/>
  <c r="G855" i="54"/>
  <c r="G455" i="54"/>
  <c r="G451" i="54" s="1"/>
  <c r="G278" i="54"/>
  <c r="G266" i="54" s="1"/>
  <c r="G265" i="54" s="1"/>
  <c r="G202" i="54" s="1"/>
  <c r="G65" i="54"/>
  <c r="G7" i="54" s="1"/>
  <c r="G860" i="54"/>
  <c r="H867" i="54"/>
  <c r="H866" i="54" s="1"/>
  <c r="F424" i="32"/>
  <c r="F423" i="32" s="1"/>
  <c r="H912" i="54"/>
  <c r="G367" i="54"/>
  <c r="G345" i="54" s="1"/>
  <c r="H862" i="54"/>
  <c r="H861" i="54" s="1"/>
  <c r="G417" i="54"/>
  <c r="G411" i="54" s="1"/>
  <c r="G419" i="54"/>
  <c r="E416" i="32"/>
  <c r="H873" i="54"/>
  <c r="G467" i="54"/>
  <c r="G466" i="54"/>
  <c r="H560" i="54"/>
  <c r="N557" i="54"/>
  <c r="M557" i="54"/>
  <c r="M556" i="54" s="1"/>
  <c r="M555" i="54" s="1"/>
  <c r="M554" i="54" s="1"/>
  <c r="M553" i="54" s="1"/>
  <c r="M513" i="54" s="1"/>
  <c r="K557" i="54"/>
  <c r="J557" i="54"/>
  <c r="J556" i="54" s="1"/>
  <c r="J555" i="54" s="1"/>
  <c r="J554" i="54" s="1"/>
  <c r="J553" i="54" s="1"/>
  <c r="J513" i="54" s="1"/>
  <c r="J6" i="54" s="1"/>
  <c r="J966" i="54" s="1"/>
  <c r="G557" i="54"/>
  <c r="G401" i="54" l="1"/>
  <c r="G400" i="54" s="1"/>
  <c r="G399" i="54" s="1"/>
  <c r="M6" i="54"/>
  <c r="M966" i="54" s="1"/>
  <c r="G330" i="54"/>
  <c r="G329" i="54" s="1"/>
  <c r="G328" i="54" s="1"/>
  <c r="H860" i="54"/>
  <c r="G841" i="54"/>
  <c r="G840" i="54" s="1"/>
  <c r="G839" i="54" s="1"/>
  <c r="G838" i="54" s="1"/>
  <c r="G837" i="54" s="1"/>
  <c r="G786" i="54" s="1"/>
  <c r="G556" i="54"/>
  <c r="K559" i="54"/>
  <c r="K556" i="54" s="1"/>
  <c r="I559" i="54"/>
  <c r="H559" i="54"/>
  <c r="N556" i="54"/>
  <c r="L557" i="54"/>
  <c r="L556" i="54" s="1"/>
  <c r="I557" i="54"/>
  <c r="H557" i="54"/>
  <c r="F557" i="54"/>
  <c r="F515" i="32"/>
  <c r="F517" i="32"/>
  <c r="E512" i="32"/>
  <c r="E508" i="32" s="1"/>
  <c r="E597" i="32"/>
  <c r="F609" i="32"/>
  <c r="F608" i="32"/>
  <c r="G301" i="54" l="1"/>
  <c r="G555" i="54"/>
  <c r="G554" i="54" s="1"/>
  <c r="G553" i="54" s="1"/>
  <c r="I556" i="54"/>
  <c r="H556" i="54"/>
  <c r="G521" i="54"/>
  <c r="F556" i="54"/>
  <c r="F317" i="32"/>
  <c r="F315" i="32" s="1"/>
  <c r="E564" i="32"/>
  <c r="F577" i="32"/>
  <c r="F576" i="32" s="1"/>
  <c r="G513" i="54" l="1"/>
  <c r="G6" i="54" s="1"/>
  <c r="F316" i="32"/>
  <c r="E563" i="32"/>
  <c r="F167" i="32"/>
  <c r="F168" i="32"/>
  <c r="F456" i="32"/>
  <c r="E455" i="32"/>
  <c r="E410" i="32" s="1"/>
  <c r="E386" i="32" s="1"/>
  <c r="F166" i="32" l="1"/>
  <c r="G966" i="54"/>
  <c r="E621" i="32"/>
  <c r="F651" i="32"/>
  <c r="F305" i="32"/>
  <c r="F309" i="32"/>
  <c r="F308" i="32"/>
  <c r="F310" i="32"/>
  <c r="F324" i="32"/>
  <c r="E322" i="32"/>
  <c r="L213" i="32"/>
  <c r="K213" i="32"/>
  <c r="K212" i="32" s="1"/>
  <c r="K211" i="32" s="1"/>
  <c r="H213" i="32"/>
  <c r="H212" i="32" s="1"/>
  <c r="H211" i="32" s="1"/>
  <c r="I213" i="32"/>
  <c r="E213" i="32"/>
  <c r="E212" i="32" s="1"/>
  <c r="E687" i="32" s="1"/>
  <c r="K210" i="32" l="1"/>
  <c r="K7" i="32" s="1"/>
  <c r="K685" i="32" s="1"/>
  <c r="H210" i="32"/>
  <c r="H7" i="32" s="1"/>
  <c r="H685" i="32" s="1"/>
  <c r="F322" i="32"/>
  <c r="F323" i="32"/>
  <c r="F302" i="32"/>
  <c r="F301" i="32" s="1"/>
  <c r="F307" i="32"/>
  <c r="F306" i="32" s="1"/>
  <c r="F299" i="32" l="1"/>
  <c r="E263" i="32"/>
  <c r="E262" i="32" s="1"/>
  <c r="F216" i="32"/>
  <c r="F215" i="32" s="1"/>
  <c r="E215" i="32"/>
  <c r="E211" i="32" s="1"/>
  <c r="E210" i="32" s="1"/>
  <c r="L964" i="54"/>
  <c r="L963" i="54" s="1"/>
  <c r="L962" i="54" s="1"/>
  <c r="L961" i="54" s="1"/>
  <c r="L959" i="54"/>
  <c r="L956" i="54"/>
  <c r="L947" i="54"/>
  <c r="L946" i="54" s="1"/>
  <c r="L944" i="54"/>
  <c r="L941" i="54"/>
  <c r="L939" i="54"/>
  <c r="L932" i="54"/>
  <c r="L931" i="54" s="1"/>
  <c r="L930" i="54" s="1"/>
  <c r="L929" i="54" s="1"/>
  <c r="L928" i="54" s="1"/>
  <c r="L927" i="54" s="1"/>
  <c r="L926" i="54" s="1"/>
  <c r="L924" i="54"/>
  <c r="L923" i="54" s="1"/>
  <c r="L922" i="54" s="1"/>
  <c r="L921" i="54" s="1"/>
  <c r="L920" i="54" s="1"/>
  <c r="L919" i="54" s="1"/>
  <c r="L916" i="54"/>
  <c r="L915" i="54" s="1"/>
  <c r="L912" i="54"/>
  <c r="L911" i="54" s="1"/>
  <c r="L910" i="54" s="1"/>
  <c r="L909" i="54" s="1"/>
  <c r="L908" i="54" s="1"/>
  <c r="L907" i="54" s="1"/>
  <c r="L906" i="54" s="1"/>
  <c r="L904" i="54"/>
  <c r="L902" i="54"/>
  <c r="L899" i="54"/>
  <c r="L897" i="54"/>
  <c r="L893" i="54"/>
  <c r="L889" i="54"/>
  <c r="L856" i="54"/>
  <c r="L855" i="54" s="1"/>
  <c r="L853" i="54"/>
  <c r="L852" i="54" s="1"/>
  <c r="L848" i="54"/>
  <c r="L846" i="54"/>
  <c r="L843" i="54"/>
  <c r="L842" i="54" s="1"/>
  <c r="L831" i="54"/>
  <c r="L830" i="54" s="1"/>
  <c r="L829" i="54" s="1"/>
  <c r="L828" i="54" s="1"/>
  <c r="L826" i="54"/>
  <c r="L817" i="54"/>
  <c r="L816" i="54" s="1"/>
  <c r="L815" i="54" s="1"/>
  <c r="L813" i="54"/>
  <c r="L812" i="54" s="1"/>
  <c r="L805" i="54"/>
  <c r="L804" i="54" s="1"/>
  <c r="L803" i="54" s="1"/>
  <c r="L802" i="54" s="1"/>
  <c r="L801" i="54" s="1"/>
  <c r="L800" i="54" s="1"/>
  <c r="L799" i="54" s="1"/>
  <c r="L797" i="54"/>
  <c r="L796" i="54" s="1"/>
  <c r="L795" i="54" s="1"/>
  <c r="L793" i="54"/>
  <c r="L792" i="54" s="1"/>
  <c r="L791" i="54" s="1"/>
  <c r="L779" i="54"/>
  <c r="L778" i="54" s="1"/>
  <c r="L777" i="54" s="1"/>
  <c r="L771" i="54"/>
  <c r="L769" i="54"/>
  <c r="L768" i="54" s="1"/>
  <c r="L762" i="54"/>
  <c r="L761" i="54" s="1"/>
  <c r="L760" i="54" s="1"/>
  <c r="L759" i="54" s="1"/>
  <c r="L758" i="54" s="1"/>
  <c r="L757" i="54" s="1"/>
  <c r="L750" i="54"/>
  <c r="L747" i="54"/>
  <c r="L743" i="54"/>
  <c r="L741" i="54"/>
  <c r="L739" i="54"/>
  <c r="L735" i="54"/>
  <c r="L734" i="54"/>
  <c r="L733" i="54"/>
  <c r="L723" i="54"/>
  <c r="L722" i="54" s="1"/>
  <c r="L721" i="54" s="1"/>
  <c r="L719" i="54"/>
  <c r="L717" i="54"/>
  <c r="L713" i="54"/>
  <c r="L711" i="54"/>
  <c r="L709" i="54"/>
  <c r="L707" i="54"/>
  <c r="L705" i="54"/>
  <c r="L699" i="54"/>
  <c r="L696" i="54"/>
  <c r="L687" i="54"/>
  <c r="L683" i="54"/>
  <c r="L677" i="54"/>
  <c r="L676" i="54" s="1"/>
  <c r="L675" i="54"/>
  <c r="L674" i="54" s="1"/>
  <c r="L655" i="54"/>
  <c r="L654" i="54" s="1"/>
  <c r="L653" i="54" s="1"/>
  <c r="L651" i="54"/>
  <c r="L650" i="54" s="1"/>
  <c r="L649" i="54" s="1"/>
  <c r="L648" i="54" s="1"/>
  <c r="L643" i="54"/>
  <c r="L642" i="54" s="1"/>
  <c r="L640" i="54"/>
  <c r="L639" i="54" s="1"/>
  <c r="L637" i="54"/>
  <c r="L635" i="54"/>
  <c r="L633" i="54"/>
  <c r="L629" i="54"/>
  <c r="L628" i="54" s="1"/>
  <c r="L626" i="54"/>
  <c r="L623" i="54"/>
  <c r="L608" i="54"/>
  <c r="L607" i="54" s="1"/>
  <c r="L606" i="54" s="1"/>
  <c r="L604" i="54"/>
  <c r="L603" i="54" s="1"/>
  <c r="L599" i="54"/>
  <c r="L598" i="54" s="1"/>
  <c r="L596" i="54"/>
  <c r="L587" i="54"/>
  <c r="L585" i="54" s="1"/>
  <c r="L584" i="54" s="1"/>
  <c r="L583" i="54" s="1"/>
  <c r="L582" i="54" s="1"/>
  <c r="L580" i="54"/>
  <c r="L579" i="54" s="1"/>
  <c r="L578" i="54" s="1"/>
  <c r="L577" i="54" s="1"/>
  <c r="L576" i="54" s="1"/>
  <c r="L575" i="54" s="1"/>
  <c r="L574" i="54" s="1"/>
  <c r="L571" i="54"/>
  <c r="L570" i="54" s="1"/>
  <c r="L569" i="54" s="1"/>
  <c r="L568" i="54" s="1"/>
  <c r="L567" i="54" s="1"/>
  <c r="L565" i="54"/>
  <c r="L564" i="54" s="1"/>
  <c r="L551" i="54"/>
  <c r="L550" i="54" s="1"/>
  <c r="L549" i="54" s="1"/>
  <c r="L548" i="54" s="1"/>
  <c r="L547" i="54" s="1"/>
  <c r="L543" i="54"/>
  <c r="L542" i="54" s="1"/>
  <c r="L535" i="54"/>
  <c r="L534" i="54" s="1"/>
  <c r="L533" i="54" s="1"/>
  <c r="L532" i="54" s="1"/>
  <c r="L528" i="54"/>
  <c r="L527" i="54" s="1"/>
  <c r="L525" i="54"/>
  <c r="L524" i="54" s="1"/>
  <c r="L520" i="54"/>
  <c r="L519" i="54" s="1"/>
  <c r="L518" i="54" s="1"/>
  <c r="L517" i="54" s="1"/>
  <c r="L516" i="54" s="1"/>
  <c r="L515" i="54" s="1"/>
  <c r="L514" i="54" s="1"/>
  <c r="L490" i="54"/>
  <c r="L489" i="54" s="1"/>
  <c r="L488" i="54" s="1"/>
  <c r="L487" i="54" s="1"/>
  <c r="L486" i="54" s="1"/>
  <c r="L485" i="54" s="1"/>
  <c r="L484" i="54" s="1"/>
  <c r="L480" i="54"/>
  <c r="L478" i="54"/>
  <c r="L477" i="54" s="1"/>
  <c r="L476" i="54" s="1"/>
  <c r="L471" i="54"/>
  <c r="L470" i="54" s="1"/>
  <c r="L469" i="54" s="1"/>
  <c r="L463" i="54"/>
  <c r="L462" i="54" s="1"/>
  <c r="L461" i="54" s="1"/>
  <c r="L457" i="54"/>
  <c r="L456" i="54" s="1"/>
  <c r="L455" i="54" s="1"/>
  <c r="L447" i="54"/>
  <c r="L439" i="54"/>
  <c r="L432" i="54"/>
  <c r="L419" i="54"/>
  <c r="L418" i="54" s="1"/>
  <c r="L413" i="54"/>
  <c r="L412" i="54" s="1"/>
  <c r="L407" i="54"/>
  <c r="L406" i="54"/>
  <c r="L395" i="54"/>
  <c r="L367" i="54"/>
  <c r="L359" i="54"/>
  <c r="L355" i="54"/>
  <c r="L352" i="54"/>
  <c r="L351" i="54" s="1"/>
  <c r="L349" i="54"/>
  <c r="L343" i="54"/>
  <c r="L342" i="54" s="1"/>
  <c r="L341" i="54" s="1"/>
  <c r="L333" i="54"/>
  <c r="L331" i="54"/>
  <c r="L326" i="54"/>
  <c r="L325" i="54" s="1"/>
  <c r="L324" i="54" s="1"/>
  <c r="L323" i="54" s="1"/>
  <c r="L322" i="54" s="1"/>
  <c r="L312" i="54"/>
  <c r="L310" i="54"/>
  <c r="L306" i="54"/>
  <c r="L305" i="54" s="1"/>
  <c r="L304" i="54" s="1"/>
  <c r="L297" i="54"/>
  <c r="L296" i="54" s="1"/>
  <c r="L294" i="54"/>
  <c r="L293" i="54" s="1"/>
  <c r="L288" i="54"/>
  <c r="L287" i="54" s="1"/>
  <c r="L280" i="54"/>
  <c r="L276" i="54"/>
  <c r="L275" i="54" s="1"/>
  <c r="L274" i="54" s="1"/>
  <c r="L269" i="54"/>
  <c r="L268" i="54" s="1"/>
  <c r="L267" i="54" s="1"/>
  <c r="L263" i="54"/>
  <c r="L262" i="54" s="1"/>
  <c r="L261" i="54" s="1"/>
  <c r="L259" i="54"/>
  <c r="L258" i="54" s="1"/>
  <c r="L250" i="54"/>
  <c r="L247" i="54"/>
  <c r="L246" i="54" s="1"/>
  <c r="L238" i="54"/>
  <c r="L237" i="54" s="1"/>
  <c r="L231" i="54"/>
  <c r="L230" i="54" s="1"/>
  <c r="L229" i="54" s="1"/>
  <c r="L228" i="54" s="1"/>
  <c r="L227" i="54" s="1"/>
  <c r="L224" i="54"/>
  <c r="L223" i="54" s="1"/>
  <c r="L222" i="54" s="1"/>
  <c r="L216" i="54"/>
  <c r="L214" i="54"/>
  <c r="L212" i="54"/>
  <c r="L210" i="54"/>
  <c r="L207" i="54"/>
  <c r="L206" i="54" s="1"/>
  <c r="L200" i="54"/>
  <c r="L199" i="54" s="1"/>
  <c r="L198" i="54" s="1"/>
  <c r="L196" i="54"/>
  <c r="L194" i="54"/>
  <c r="L192" i="54"/>
  <c r="L187" i="54"/>
  <c r="L186" i="54" s="1"/>
  <c r="L178" i="54"/>
  <c r="L177" i="54" s="1"/>
  <c r="L176" i="54" s="1"/>
  <c r="L170" i="54"/>
  <c r="L168" i="54"/>
  <c r="L166" i="54"/>
  <c r="L163" i="54"/>
  <c r="L161" i="54"/>
  <c r="L153" i="54"/>
  <c r="L151" i="54"/>
  <c r="L149" i="54"/>
  <c r="L141" i="54"/>
  <c r="L140" i="54" s="1"/>
  <c r="L139" i="54" s="1"/>
  <c r="L138" i="54" s="1"/>
  <c r="L137" i="54" s="1"/>
  <c r="L136" i="54" s="1"/>
  <c r="L125" i="54"/>
  <c r="L123" i="54"/>
  <c r="L119" i="54"/>
  <c r="L115" i="54"/>
  <c r="L113" i="54"/>
  <c r="L106" i="54"/>
  <c r="L102" i="54"/>
  <c r="L101" i="54" s="1"/>
  <c r="L100" i="54" s="1"/>
  <c r="L99" i="54" s="1"/>
  <c r="L91" i="54"/>
  <c r="L89" i="54"/>
  <c r="L87" i="54"/>
  <c r="L82" i="54"/>
  <c r="L81" i="54" s="1"/>
  <c r="L78" i="54"/>
  <c r="L76" i="54"/>
  <c r="L75" i="54" s="1"/>
  <c r="L72" i="54"/>
  <c r="L71" i="54"/>
  <c r="L70" i="54" s="1"/>
  <c r="L69" i="54" s="1"/>
  <c r="L63" i="54"/>
  <c r="L62" i="54" s="1"/>
  <c r="L61" i="54" s="1"/>
  <c r="L60" i="54" s="1"/>
  <c r="L59" i="54" s="1"/>
  <c r="L57" i="54"/>
  <c r="L56" i="54" s="1"/>
  <c r="L55" i="54" s="1"/>
  <c r="L45" i="54"/>
  <c r="L41" i="54"/>
  <c r="L40" i="54" s="1"/>
  <c r="L29" i="54"/>
  <c r="L25" i="54"/>
  <c r="L13" i="54"/>
  <c r="L12" i="54" s="1"/>
  <c r="K964" i="54"/>
  <c r="K963" i="54" s="1"/>
  <c r="K962" i="54" s="1"/>
  <c r="K961" i="54" s="1"/>
  <c r="K959" i="54"/>
  <c r="K956" i="54"/>
  <c r="K947" i="54"/>
  <c r="K946" i="54" s="1"/>
  <c r="K944" i="54"/>
  <c r="K941" i="54"/>
  <c r="K939" i="54"/>
  <c r="K932" i="54"/>
  <c r="K931" i="54" s="1"/>
  <c r="K930" i="54" s="1"/>
  <c r="K929" i="54" s="1"/>
  <c r="K928" i="54" s="1"/>
  <c r="K927" i="54" s="1"/>
  <c r="K926" i="54" s="1"/>
  <c r="K924" i="54"/>
  <c r="K923" i="54" s="1"/>
  <c r="K922" i="54" s="1"/>
  <c r="K921" i="54" s="1"/>
  <c r="K920" i="54" s="1"/>
  <c r="K919" i="54" s="1"/>
  <c r="K916" i="54"/>
  <c r="K915" i="54" s="1"/>
  <c r="K912" i="54"/>
  <c r="K904" i="54"/>
  <c r="K902" i="54"/>
  <c r="K899" i="54"/>
  <c r="K897" i="54"/>
  <c r="K893" i="54"/>
  <c r="K889" i="54"/>
  <c r="K856" i="54"/>
  <c r="K855" i="54" s="1"/>
  <c r="K853" i="54"/>
  <c r="K852" i="54" s="1"/>
  <c r="K848" i="54"/>
  <c r="K846" i="54"/>
  <c r="K843" i="54"/>
  <c r="K842" i="54" s="1"/>
  <c r="K831" i="54"/>
  <c r="K830" i="54" s="1"/>
  <c r="K829" i="54" s="1"/>
  <c r="K828" i="54" s="1"/>
  <c r="K826" i="54"/>
  <c r="K815" i="54"/>
  <c r="K813" i="54"/>
  <c r="K812" i="54" s="1"/>
  <c r="K805" i="54"/>
  <c r="K804" i="54" s="1"/>
  <c r="K803" i="54" s="1"/>
  <c r="K802" i="54" s="1"/>
  <c r="K801" i="54" s="1"/>
  <c r="K800" i="54" s="1"/>
  <c r="K799" i="54" s="1"/>
  <c r="K797" i="54"/>
  <c r="K796" i="54" s="1"/>
  <c r="K795" i="54" s="1"/>
  <c r="K793" i="54"/>
  <c r="K792" i="54" s="1"/>
  <c r="K791" i="54" s="1"/>
  <c r="K779" i="54"/>
  <c r="K778" i="54" s="1"/>
  <c r="K777" i="54" s="1"/>
  <c r="K771" i="54"/>
  <c r="K769" i="54"/>
  <c r="K768" i="54" s="1"/>
  <c r="K762" i="54"/>
  <c r="K761" i="54" s="1"/>
  <c r="K760" i="54" s="1"/>
  <c r="K759" i="54" s="1"/>
  <c r="K758" i="54" s="1"/>
  <c r="K757" i="54" s="1"/>
  <c r="K754" i="54"/>
  <c r="K753" i="54" s="1"/>
  <c r="K750" i="54"/>
  <c r="K747" i="54"/>
  <c r="K743" i="54"/>
  <c r="K741" i="54"/>
  <c r="K739" i="54"/>
  <c r="K735" i="54"/>
  <c r="K734" i="54"/>
  <c r="K733" i="54"/>
  <c r="K723" i="54"/>
  <c r="K722" i="54" s="1"/>
  <c r="K721" i="54" s="1"/>
  <c r="K719" i="54"/>
  <c r="K717" i="54"/>
  <c r="K713" i="54"/>
  <c r="K711" i="54"/>
  <c r="K709" i="54"/>
  <c r="K707" i="54"/>
  <c r="K705" i="54"/>
  <c r="K699" i="54"/>
  <c r="K696" i="54"/>
  <c r="K687" i="54"/>
  <c r="K683" i="54"/>
  <c r="K677" i="54"/>
  <c r="K676" i="54" s="1"/>
  <c r="K675" i="54"/>
  <c r="K674" i="54" s="1"/>
  <c r="K651" i="54"/>
  <c r="K650" i="54" s="1"/>
  <c r="K649" i="54" s="1"/>
  <c r="K648" i="54" s="1"/>
  <c r="K643" i="54"/>
  <c r="K642" i="54" s="1"/>
  <c r="K639" i="54"/>
  <c r="K637" i="54"/>
  <c r="K635" i="54"/>
  <c r="K633" i="54"/>
  <c r="K629" i="54"/>
  <c r="K628" i="54" s="1"/>
  <c r="K626" i="54"/>
  <c r="K623" i="54"/>
  <c r="K608" i="54"/>
  <c r="K607" i="54" s="1"/>
  <c r="K606" i="54" s="1"/>
  <c r="K604" i="54"/>
  <c r="K603" i="54" s="1"/>
  <c r="K599" i="54"/>
  <c r="K598" i="54" s="1"/>
  <c r="K596" i="54"/>
  <c r="K587" i="54"/>
  <c r="K586" i="54" s="1"/>
  <c r="K580" i="54"/>
  <c r="K579" i="54" s="1"/>
  <c r="K578" i="54" s="1"/>
  <c r="K577" i="54" s="1"/>
  <c r="K576" i="54" s="1"/>
  <c r="K575" i="54" s="1"/>
  <c r="K574" i="54" s="1"/>
  <c r="K571" i="54"/>
  <c r="K570" i="54" s="1"/>
  <c r="K569" i="54" s="1"/>
  <c r="K568" i="54" s="1"/>
  <c r="K567" i="54" s="1"/>
  <c r="K565" i="54"/>
  <c r="K564" i="54" s="1"/>
  <c r="K551" i="54"/>
  <c r="K550" i="54" s="1"/>
  <c r="K549" i="54" s="1"/>
  <c r="K548" i="54" s="1"/>
  <c r="K547" i="54" s="1"/>
  <c r="K543" i="54"/>
  <c r="K542" i="54" s="1"/>
  <c r="K540" i="54" s="1"/>
  <c r="K535" i="54"/>
  <c r="K534" i="54" s="1"/>
  <c r="K533" i="54" s="1"/>
  <c r="K532" i="54" s="1"/>
  <c r="K529" i="54"/>
  <c r="K528" i="54" s="1"/>
  <c r="K527" i="54" s="1"/>
  <c r="K525" i="54"/>
  <c r="K524" i="54" s="1"/>
  <c r="K520" i="54"/>
  <c r="K519" i="54" s="1"/>
  <c r="K518" i="54" s="1"/>
  <c r="K517" i="54" s="1"/>
  <c r="K516" i="54" s="1"/>
  <c r="K515" i="54" s="1"/>
  <c r="K514" i="54" s="1"/>
  <c r="K490" i="54"/>
  <c r="K489" i="54" s="1"/>
  <c r="K488" i="54" s="1"/>
  <c r="K487" i="54" s="1"/>
  <c r="K486" i="54" s="1"/>
  <c r="K485" i="54" s="1"/>
  <c r="K484" i="54" s="1"/>
  <c r="K480" i="54"/>
  <c r="K478" i="54"/>
  <c r="K477" i="54" s="1"/>
  <c r="K476" i="54" s="1"/>
  <c r="K471" i="54"/>
  <c r="K470" i="54" s="1"/>
  <c r="K469" i="54" s="1"/>
  <c r="K463" i="54"/>
  <c r="K462" i="54" s="1"/>
  <c r="K461" i="54" s="1"/>
  <c r="K457" i="54"/>
  <c r="K456" i="54" s="1"/>
  <c r="K455" i="54" s="1"/>
  <c r="K447" i="54"/>
  <c r="K439" i="54"/>
  <c r="K432" i="54"/>
  <c r="K418" i="54"/>
  <c r="K413" i="54"/>
  <c r="K412" i="54" s="1"/>
  <c r="K407" i="54"/>
  <c r="K406" i="54"/>
  <c r="K395" i="54"/>
  <c r="K367" i="54"/>
  <c r="K359" i="54"/>
  <c r="K355" i="54"/>
  <c r="K352" i="54"/>
  <c r="K351" i="54" s="1"/>
  <c r="K349" i="54"/>
  <c r="K343" i="54"/>
  <c r="K342" i="54" s="1"/>
  <c r="K341" i="54" s="1"/>
  <c r="K339" i="54"/>
  <c r="K338" i="54" s="1"/>
  <c r="K336" i="54"/>
  <c r="K335" i="54" s="1"/>
  <c r="K326" i="54"/>
  <c r="K325" i="54" s="1"/>
  <c r="K324" i="54" s="1"/>
  <c r="K323" i="54" s="1"/>
  <c r="K322" i="54" s="1"/>
  <c r="K312" i="54"/>
  <c r="K310" i="54"/>
  <c r="K306" i="54"/>
  <c r="K305" i="54" s="1"/>
  <c r="K304" i="54" s="1"/>
  <c r="K297" i="54"/>
  <c r="K296" i="54" s="1"/>
  <c r="K294" i="54"/>
  <c r="K293" i="54" s="1"/>
  <c r="K288" i="54"/>
  <c r="K287" i="54" s="1"/>
  <c r="K280" i="54"/>
  <c r="K276" i="54"/>
  <c r="K275" i="54" s="1"/>
  <c r="K274" i="54" s="1"/>
  <c r="K269" i="54"/>
  <c r="K268" i="54" s="1"/>
  <c r="K267" i="54" s="1"/>
  <c r="K263" i="54"/>
  <c r="K262" i="54" s="1"/>
  <c r="K261" i="54" s="1"/>
  <c r="K259" i="54"/>
  <c r="K258" i="54" s="1"/>
  <c r="K250" i="54"/>
  <c r="K247" i="54"/>
  <c r="K246" i="54" s="1"/>
  <c r="K242" i="54"/>
  <c r="K241" i="54" s="1"/>
  <c r="K240" i="54" s="1"/>
  <c r="K238" i="54"/>
  <c r="K237" i="54" s="1"/>
  <c r="K231" i="54"/>
  <c r="K230" i="54" s="1"/>
  <c r="K229" i="54" s="1"/>
  <c r="K228" i="54" s="1"/>
  <c r="K227" i="54" s="1"/>
  <c r="K224" i="54"/>
  <c r="K223" i="54" s="1"/>
  <c r="K222" i="54" s="1"/>
  <c r="K219" i="54"/>
  <c r="K218" i="54" s="1"/>
  <c r="K217" i="54" s="1"/>
  <c r="K214" i="54"/>
  <c r="K212" i="54"/>
  <c r="K210" i="54"/>
  <c r="K207" i="54"/>
  <c r="K206" i="54" s="1"/>
  <c r="K200" i="54"/>
  <c r="K199" i="54" s="1"/>
  <c r="K198" i="54" s="1"/>
  <c r="K196" i="54"/>
  <c r="K194" i="54"/>
  <c r="K192" i="54"/>
  <c r="K187" i="54"/>
  <c r="K186" i="54" s="1"/>
  <c r="K178" i="54"/>
  <c r="K177" i="54" s="1"/>
  <c r="K176" i="54" s="1"/>
  <c r="K170" i="54"/>
  <c r="K168" i="54"/>
  <c r="K166" i="54"/>
  <c r="K163" i="54"/>
  <c r="K161" i="54"/>
  <c r="K153" i="54"/>
  <c r="K151" i="54"/>
  <c r="K149" i="54"/>
  <c r="K141" i="54"/>
  <c r="K140" i="54" s="1"/>
  <c r="K139" i="54" s="1"/>
  <c r="K138" i="54" s="1"/>
  <c r="K137" i="54" s="1"/>
  <c r="K136" i="54" s="1"/>
  <c r="K125" i="54"/>
  <c r="K123" i="54"/>
  <c r="K119" i="54"/>
  <c r="K117" i="54"/>
  <c r="K115" i="54" s="1"/>
  <c r="K113" i="54"/>
  <c r="K106" i="54"/>
  <c r="K102" i="54"/>
  <c r="K101" i="54" s="1"/>
  <c r="K100" i="54" s="1"/>
  <c r="K99" i="54" s="1"/>
  <c r="K91" i="54"/>
  <c r="K89" i="54"/>
  <c r="K87" i="54"/>
  <c r="K82" i="54"/>
  <c r="K81" i="54" s="1"/>
  <c r="K78" i="54"/>
  <c r="K76" i="54"/>
  <c r="K75" i="54" s="1"/>
  <c r="K72" i="54"/>
  <c r="K71" i="54"/>
  <c r="K70" i="54" s="1"/>
  <c r="K69" i="54" s="1"/>
  <c r="K63" i="54"/>
  <c r="K62" i="54" s="1"/>
  <c r="K61" i="54" s="1"/>
  <c r="K60" i="54" s="1"/>
  <c r="K59" i="54" s="1"/>
  <c r="K57" i="54"/>
  <c r="K56" i="54" s="1"/>
  <c r="K55" i="54" s="1"/>
  <c r="K45" i="54"/>
  <c r="K41" i="54"/>
  <c r="K40" i="54" s="1"/>
  <c r="K29" i="54"/>
  <c r="K25" i="54"/>
  <c r="K13" i="54"/>
  <c r="K12" i="54" s="1"/>
  <c r="H959" i="54"/>
  <c r="H947" i="54"/>
  <c r="H946" i="54" s="1"/>
  <c r="H944" i="54"/>
  <c r="H941" i="54"/>
  <c r="H939" i="54"/>
  <c r="H932" i="54"/>
  <c r="H931" i="54" s="1"/>
  <c r="H930" i="54" s="1"/>
  <c r="H929" i="54" s="1"/>
  <c r="H928" i="54" s="1"/>
  <c r="H927" i="54" s="1"/>
  <c r="H926" i="54" s="1"/>
  <c r="H924" i="54"/>
  <c r="H923" i="54" s="1"/>
  <c r="H922" i="54" s="1"/>
  <c r="H921" i="54" s="1"/>
  <c r="H920" i="54" s="1"/>
  <c r="H919" i="54" s="1"/>
  <c r="H916" i="54"/>
  <c r="H915" i="54" s="1"/>
  <c r="H904" i="54"/>
  <c r="H902" i="54"/>
  <c r="H899" i="54"/>
  <c r="H897" i="54"/>
  <c r="H893" i="54"/>
  <c r="H857" i="54"/>
  <c r="H856" i="54" s="1"/>
  <c r="H855" i="54" s="1"/>
  <c r="H853" i="54"/>
  <c r="H852" i="54" s="1"/>
  <c r="H848" i="54"/>
  <c r="H846" i="54"/>
  <c r="H843" i="54"/>
  <c r="H842" i="54" s="1"/>
  <c r="H831" i="54"/>
  <c r="H830" i="54" s="1"/>
  <c r="H826" i="54"/>
  <c r="H825" i="54" s="1"/>
  <c r="H816" i="54"/>
  <c r="H815" i="54" s="1"/>
  <c r="H813" i="54"/>
  <c r="H812" i="54" s="1"/>
  <c r="H805" i="54"/>
  <c r="H804" i="54" s="1"/>
  <c r="H803" i="54" s="1"/>
  <c r="H802" i="54" s="1"/>
  <c r="H801" i="54" s="1"/>
  <c r="H800" i="54" s="1"/>
  <c r="H799" i="54" s="1"/>
  <c r="H797" i="54"/>
  <c r="H796" i="54" s="1"/>
  <c r="H795" i="54" s="1"/>
  <c r="H793" i="54"/>
  <c r="H792" i="54" s="1"/>
  <c r="H791" i="54" s="1"/>
  <c r="H779" i="54"/>
  <c r="H778" i="54" s="1"/>
  <c r="H777" i="54" s="1"/>
  <c r="H771" i="54"/>
  <c r="H769" i="54"/>
  <c r="H762" i="54"/>
  <c r="H761" i="54" s="1"/>
  <c r="H760" i="54" s="1"/>
  <c r="H759" i="54" s="1"/>
  <c r="H758" i="54" s="1"/>
  <c r="H757" i="54" s="1"/>
  <c r="H754" i="54"/>
  <c r="H753" i="54" s="1"/>
  <c r="H747" i="54"/>
  <c r="H743" i="54"/>
  <c r="H741" i="54"/>
  <c r="H739" i="54"/>
  <c r="H735" i="54"/>
  <c r="H734" i="54"/>
  <c r="H733" i="54"/>
  <c r="H723" i="54"/>
  <c r="H722" i="54" s="1"/>
  <c r="H721" i="54" s="1"/>
  <c r="H719" i="54"/>
  <c r="H717" i="54"/>
  <c r="H713" i="54"/>
  <c r="H712" i="54"/>
  <c r="H711" i="54" s="1"/>
  <c r="H709" i="54"/>
  <c r="H707" i="54"/>
  <c r="H705" i="54"/>
  <c r="H696" i="54"/>
  <c r="H656" i="54"/>
  <c r="H655" i="54" s="1"/>
  <c r="H651" i="54"/>
  <c r="H650" i="54" s="1"/>
  <c r="H649" i="54" s="1"/>
  <c r="H648" i="54" s="1"/>
  <c r="H643" i="54"/>
  <c r="H642" i="54" s="1"/>
  <c r="H639" i="54"/>
  <c r="H637" i="54"/>
  <c r="H635" i="54"/>
  <c r="H633" i="54"/>
  <c r="H629" i="54"/>
  <c r="H628" i="54" s="1"/>
  <c r="H623" i="54"/>
  <c r="H608" i="54"/>
  <c r="H607" i="54" s="1"/>
  <c r="H606" i="54" s="1"/>
  <c r="H604" i="54"/>
  <c r="H603" i="54" s="1"/>
  <c r="H599" i="54"/>
  <c r="H598" i="54" s="1"/>
  <c r="H596" i="54"/>
  <c r="H587" i="54"/>
  <c r="H585" i="54" s="1"/>
  <c r="H584" i="54" s="1"/>
  <c r="H583" i="54" s="1"/>
  <c r="H582" i="54" s="1"/>
  <c r="H580" i="54"/>
  <c r="H579" i="54" s="1"/>
  <c r="H578" i="54" s="1"/>
  <c r="H577" i="54" s="1"/>
  <c r="H576" i="54" s="1"/>
  <c r="H575" i="54" s="1"/>
  <c r="H574" i="54" s="1"/>
  <c r="H571" i="54"/>
  <c r="H570" i="54" s="1"/>
  <c r="H569" i="54" s="1"/>
  <c r="H568" i="54" s="1"/>
  <c r="H567" i="54" s="1"/>
  <c r="H565" i="54"/>
  <c r="H564" i="54" s="1"/>
  <c r="H555" i="54" s="1"/>
  <c r="H547" i="54"/>
  <c r="H543" i="54"/>
  <c r="H542" i="54" s="1"/>
  <c r="H534" i="54"/>
  <c r="H533" i="54" s="1"/>
  <c r="H532" i="54" s="1"/>
  <c r="H527" i="54"/>
  <c r="H525" i="54"/>
  <c r="H524" i="54" s="1"/>
  <c r="H491" i="54"/>
  <c r="H490" i="54" s="1"/>
  <c r="H489" i="54" s="1"/>
  <c r="H488" i="54" s="1"/>
  <c r="H487" i="54" s="1"/>
  <c r="H486" i="54" s="1"/>
  <c r="H480" i="54"/>
  <c r="H478" i="54"/>
  <c r="H471" i="54"/>
  <c r="H470" i="54" s="1"/>
  <c r="H469" i="54" s="1"/>
  <c r="H463" i="54"/>
  <c r="H462" i="54" s="1"/>
  <c r="H461" i="54" s="1"/>
  <c r="H447" i="54"/>
  <c r="H439" i="54"/>
  <c r="H436" i="54"/>
  <c r="H432" i="54"/>
  <c r="H430" i="54"/>
  <c r="H428" i="54"/>
  <c r="H419" i="54"/>
  <c r="H418" i="54" s="1"/>
  <c r="H407" i="54"/>
  <c r="H406" i="54"/>
  <c r="H395" i="54"/>
  <c r="H394" i="54" s="1"/>
  <c r="H376" i="54"/>
  <c r="H351" i="54"/>
  <c r="H349" i="54"/>
  <c r="H343" i="54"/>
  <c r="H342" i="54" s="1"/>
  <c r="H341" i="54" s="1"/>
  <c r="H333" i="54"/>
  <c r="H322" i="54"/>
  <c r="H316" i="54"/>
  <c r="H314" i="54"/>
  <c r="H312" i="54"/>
  <c r="H310" i="54"/>
  <c r="H304" i="54"/>
  <c r="H297" i="54"/>
  <c r="H296" i="54" s="1"/>
  <c r="H294" i="54"/>
  <c r="H293" i="54" s="1"/>
  <c r="H288" i="54"/>
  <c r="H287" i="54" s="1"/>
  <c r="H280" i="54"/>
  <c r="H276" i="54"/>
  <c r="H275" i="54" s="1"/>
  <c r="H274" i="54" s="1"/>
  <c r="H263" i="54"/>
  <c r="H262" i="54" s="1"/>
  <c r="H261" i="54" s="1"/>
  <c r="H259" i="54"/>
  <c r="H258" i="54" s="1"/>
  <c r="H250" i="54"/>
  <c r="H247" i="54"/>
  <c r="H246" i="54" s="1"/>
  <c r="H242" i="54"/>
  <c r="H241" i="54" s="1"/>
  <c r="H240" i="54" s="1"/>
  <c r="H238" i="54"/>
  <c r="H237" i="54" s="1"/>
  <c r="H231" i="54"/>
  <c r="H230" i="54" s="1"/>
  <c r="H229" i="54" s="1"/>
  <c r="H228" i="54" s="1"/>
  <c r="H227" i="54" s="1"/>
  <c r="H223" i="54"/>
  <c r="H222" i="54" s="1"/>
  <c r="H219" i="54"/>
  <c r="H218" i="54" s="1"/>
  <c r="H214" i="54"/>
  <c r="H212" i="54"/>
  <c r="H210" i="54"/>
  <c r="H207" i="54"/>
  <c r="H206" i="54" s="1"/>
  <c r="H200" i="54"/>
  <c r="H199" i="54" s="1"/>
  <c r="H198" i="54" s="1"/>
  <c r="H196" i="54"/>
  <c r="H194" i="54"/>
  <c r="H192" i="54"/>
  <c r="H187" i="54"/>
  <c r="H186" i="54" s="1"/>
  <c r="H180" i="54"/>
  <c r="H178" i="54"/>
  <c r="H170" i="54"/>
  <c r="H168" i="54"/>
  <c r="H166" i="54"/>
  <c r="H161" i="54"/>
  <c r="H153" i="54"/>
  <c r="H151" i="54"/>
  <c r="H149" i="54"/>
  <c r="H141" i="54"/>
  <c r="H140" i="54" s="1"/>
  <c r="H139" i="54" s="1"/>
  <c r="H138" i="54" s="1"/>
  <c r="H137" i="54" s="1"/>
  <c r="H136" i="54" s="1"/>
  <c r="H127" i="54"/>
  <c r="H123" i="54"/>
  <c r="H119" i="54"/>
  <c r="H115" i="54"/>
  <c r="H113" i="54"/>
  <c r="H106" i="54"/>
  <c r="H102" i="54"/>
  <c r="H101" i="54" s="1"/>
  <c r="H100" i="54" s="1"/>
  <c r="H99" i="54" s="1"/>
  <c r="H91" i="54"/>
  <c r="H89" i="54"/>
  <c r="H87" i="54"/>
  <c r="H82" i="54"/>
  <c r="H80" i="54" s="1"/>
  <c r="H78" i="54"/>
  <c r="H76" i="54"/>
  <c r="H73" i="54"/>
  <c r="H72" i="54" s="1"/>
  <c r="H70" i="54"/>
  <c r="H69" i="54" s="1"/>
  <c r="H63" i="54"/>
  <c r="H62" i="54" s="1"/>
  <c r="H61" i="54" s="1"/>
  <c r="H60" i="54" s="1"/>
  <c r="H59" i="54" s="1"/>
  <c r="H57" i="54"/>
  <c r="H56" i="54" s="1"/>
  <c r="H55" i="54" s="1"/>
  <c r="H51" i="54"/>
  <c r="H50" i="54" s="1"/>
  <c r="H41" i="54"/>
  <c r="H40" i="54" s="1"/>
  <c r="H13" i="54"/>
  <c r="H12" i="54" s="1"/>
  <c r="J674" i="32"/>
  <c r="J673" i="32" s="1"/>
  <c r="J663" i="32"/>
  <c r="J661" i="32"/>
  <c r="J657" i="32"/>
  <c r="J655" i="32"/>
  <c r="J652" i="32"/>
  <c r="J650" i="32"/>
  <c r="J646" i="32"/>
  <c r="J644" i="32" s="1"/>
  <c r="J642" i="32"/>
  <c r="J638" i="32"/>
  <c r="J635" i="32"/>
  <c r="J631" i="32"/>
  <c r="J628" i="32"/>
  <c r="J625" i="32"/>
  <c r="J623" i="32"/>
  <c r="J615" i="32"/>
  <c r="J613" i="32"/>
  <c r="J612" i="32" s="1"/>
  <c r="J606" i="32"/>
  <c r="J599" i="32"/>
  <c r="J595" i="32"/>
  <c r="J593" i="32"/>
  <c r="J587" i="32"/>
  <c r="J586" i="32" s="1"/>
  <c r="J583" i="32"/>
  <c r="J581" i="32"/>
  <c r="J579" i="32"/>
  <c r="J576" i="32"/>
  <c r="J574" i="32"/>
  <c r="J569" i="32"/>
  <c r="J567" i="32"/>
  <c r="J565" i="32"/>
  <c r="J561" i="32"/>
  <c r="J559" i="32"/>
  <c r="J557" i="32"/>
  <c r="J554" i="32"/>
  <c r="J553" i="32" s="1"/>
  <c r="J550" i="32"/>
  <c r="J549" i="32" s="1"/>
  <c r="J548" i="32" s="1"/>
  <c r="J546" i="32"/>
  <c r="J545" i="32" s="1"/>
  <c r="J544" i="32" s="1"/>
  <c r="J542" i="32"/>
  <c r="J541" i="32" s="1"/>
  <c r="J533" i="32"/>
  <c r="J530" i="32"/>
  <c r="J529" i="32" s="1"/>
  <c r="J526" i="32"/>
  <c r="J525" i="32" s="1"/>
  <c r="J520" i="32"/>
  <c r="J519" i="32" s="1"/>
  <c r="J518" i="32" s="1"/>
  <c r="J514" i="32"/>
  <c r="J513" i="32" s="1"/>
  <c r="J512" i="32" s="1"/>
  <c r="J504" i="32"/>
  <c r="J502" i="32"/>
  <c r="J501" i="32" s="1"/>
  <c r="J483" i="32"/>
  <c r="J477" i="32"/>
  <c r="J469" i="32"/>
  <c r="J466" i="32"/>
  <c r="J465" i="32" s="1"/>
  <c r="J463" i="32"/>
  <c r="J456" i="32"/>
  <c r="J455" i="32" s="1"/>
  <c r="J451" i="32"/>
  <c r="J449" i="32"/>
  <c r="J447" i="32"/>
  <c r="J439" i="32"/>
  <c r="J436" i="32"/>
  <c r="J432" i="32"/>
  <c r="J429" i="32"/>
  <c r="J418" i="32"/>
  <c r="J417" i="32" s="1"/>
  <c r="J412" i="32"/>
  <c r="J411" i="32" s="1"/>
  <c r="J402" i="32"/>
  <c r="J397" i="32"/>
  <c r="J396" i="32" s="1"/>
  <c r="J392" i="32"/>
  <c r="J384" i="32"/>
  <c r="J383" i="32" s="1"/>
  <c r="J382" i="32" s="1"/>
  <c r="J380" i="32"/>
  <c r="J378" i="32"/>
  <c r="J376" i="32"/>
  <c r="J374" i="32"/>
  <c r="J371" i="32"/>
  <c r="J364" i="32"/>
  <c r="J362" i="32"/>
  <c r="J360" i="32"/>
  <c r="J355" i="32"/>
  <c r="J350" i="32"/>
  <c r="J349" i="32" s="1"/>
  <c r="J342" i="32"/>
  <c r="J340" i="32"/>
  <c r="J339" i="32" s="1"/>
  <c r="J336" i="32"/>
  <c r="J335" i="32" s="1"/>
  <c r="J334" i="32" s="1"/>
  <c r="J328" i="32"/>
  <c r="J327" i="32" s="1"/>
  <c r="J326" i="32" s="1"/>
  <c r="J291" i="32"/>
  <c r="J288" i="32"/>
  <c r="J286" i="32"/>
  <c r="J283" i="32"/>
  <c r="J281" i="32"/>
  <c r="J278" i="32"/>
  <c r="J277" i="32" s="1"/>
  <c r="J275" i="32"/>
  <c r="J274" i="32" s="1"/>
  <c r="J270" i="32"/>
  <c r="J268" i="32"/>
  <c r="J265" i="32"/>
  <c r="J264" i="32" s="1"/>
  <c r="J256" i="32"/>
  <c r="J254" i="32"/>
  <c r="J249" i="32"/>
  <c r="J247" i="32"/>
  <c r="J244" i="32"/>
  <c r="J239" i="32"/>
  <c r="J234" i="32"/>
  <c r="J229" i="32"/>
  <c r="J227" i="32"/>
  <c r="J224" i="32"/>
  <c r="J221" i="32"/>
  <c r="J216" i="32"/>
  <c r="J213" i="32"/>
  <c r="J212" i="32" s="1"/>
  <c r="J211" i="32" s="1"/>
  <c r="J208" i="32"/>
  <c r="J207" i="32" s="1"/>
  <c r="J206" i="32" s="1"/>
  <c r="J204" i="32"/>
  <c r="J203" i="32" s="1"/>
  <c r="J202" i="32" s="1"/>
  <c r="J200" i="32"/>
  <c r="J199" i="32" s="1"/>
  <c r="J198" i="32" s="1"/>
  <c r="J191" i="32"/>
  <c r="J190" i="32" s="1"/>
  <c r="J189" i="32" s="1"/>
  <c r="J175" i="32"/>
  <c r="J174" i="32" s="1"/>
  <c r="J173" i="32" s="1"/>
  <c r="J170" i="32"/>
  <c r="J169" i="32" s="1"/>
  <c r="J163" i="32"/>
  <c r="J160" i="32"/>
  <c r="J158" i="32"/>
  <c r="J148" i="32"/>
  <c r="J146" i="32"/>
  <c r="J142" i="32"/>
  <c r="J140" i="32"/>
  <c r="J138" i="32"/>
  <c r="J136" i="32"/>
  <c r="J134" i="32"/>
  <c r="J133" i="32"/>
  <c r="J132" i="32" s="1"/>
  <c r="J131" i="32"/>
  <c r="J130" i="32" s="1"/>
  <c r="J120" i="32"/>
  <c r="J119" i="32" s="1"/>
  <c r="J116" i="32"/>
  <c r="J114" i="32"/>
  <c r="J113" i="32" s="1"/>
  <c r="J111" i="32"/>
  <c r="J107" i="32"/>
  <c r="J105" i="32"/>
  <c r="J103" i="32"/>
  <c r="J101" i="32"/>
  <c r="J97" i="32"/>
  <c r="J96" i="32" s="1"/>
  <c r="J91" i="32"/>
  <c r="J87" i="32"/>
  <c r="J86" i="32" s="1"/>
  <c r="J84" i="32"/>
  <c r="J82" i="32"/>
  <c r="J75" i="32"/>
  <c r="J70" i="32"/>
  <c r="J68" i="32"/>
  <c r="J66" i="32"/>
  <c r="J65" i="32"/>
  <c r="J64" i="32" s="1"/>
  <c r="J58" i="32"/>
  <c r="J55" i="32"/>
  <c r="J53" i="32"/>
  <c r="J51" i="32"/>
  <c r="J48" i="32"/>
  <c r="J43" i="32"/>
  <c r="J40" i="32"/>
  <c r="J33" i="32"/>
  <c r="J30" i="32"/>
  <c r="J27" i="32"/>
  <c r="J26" i="32" s="1"/>
  <c r="J23" i="32"/>
  <c r="J19" i="32"/>
  <c r="J17" i="32"/>
  <c r="J16" i="32" s="1"/>
  <c r="J14" i="32"/>
  <c r="J13" i="32" s="1"/>
  <c r="J11" i="32"/>
  <c r="J10" i="32" s="1"/>
  <c r="I674" i="32"/>
  <c r="I673" i="32" s="1"/>
  <c r="I663" i="32"/>
  <c r="I661" i="32"/>
  <c r="I657" i="32"/>
  <c r="I655" i="32"/>
  <c r="I652" i="32"/>
  <c r="I650" i="32"/>
  <c r="I646" i="32"/>
  <c r="I644" i="32" s="1"/>
  <c r="I642" i="32"/>
  <c r="I638" i="32"/>
  <c r="I635" i="32"/>
  <c r="I631" i="32"/>
  <c r="I628" i="32"/>
  <c r="I625" i="32"/>
  <c r="I623" i="32"/>
  <c r="I618" i="32"/>
  <c r="I617" i="32" s="1"/>
  <c r="I613" i="32"/>
  <c r="I612" i="32" s="1"/>
  <c r="I607" i="32"/>
  <c r="I606" i="32" s="1"/>
  <c r="I599" i="32"/>
  <c r="I592" i="32"/>
  <c r="I591" i="32" s="1"/>
  <c r="I590" i="32" s="1"/>
  <c r="I589" i="32" s="1"/>
  <c r="I587" i="32"/>
  <c r="I586" i="32" s="1"/>
  <c r="I583" i="32"/>
  <c r="I581" i="32"/>
  <c r="I579" i="32"/>
  <c r="I576" i="32"/>
  <c r="I574" i="32"/>
  <c r="I569" i="32"/>
  <c r="I567" i="32"/>
  <c r="I565" i="32"/>
  <c r="I561" i="32"/>
  <c r="I559" i="32"/>
  <c r="I557" i="32"/>
  <c r="I554" i="32"/>
  <c r="I553" i="32" s="1"/>
  <c r="I550" i="32"/>
  <c r="I549" i="32" s="1"/>
  <c r="I548" i="32" s="1"/>
  <c r="I546" i="32"/>
  <c r="I545" i="32" s="1"/>
  <c r="I544" i="32" s="1"/>
  <c r="I542" i="32"/>
  <c r="I541" i="32" s="1"/>
  <c r="I533" i="32"/>
  <c r="I530" i="32"/>
  <c r="I529" i="32" s="1"/>
  <c r="I526" i="32"/>
  <c r="I525" i="32" s="1"/>
  <c r="I520" i="32"/>
  <c r="I519" i="32" s="1"/>
  <c r="I518" i="32" s="1"/>
  <c r="I514" i="32"/>
  <c r="I513" i="32" s="1"/>
  <c r="I512" i="32" s="1"/>
  <c r="I504" i="32"/>
  <c r="I502" i="32"/>
  <c r="I501" i="32" s="1"/>
  <c r="I483" i="32"/>
  <c r="I477" i="32"/>
  <c r="I473" i="32"/>
  <c r="I466" i="32"/>
  <c r="I465" i="32" s="1"/>
  <c r="I463" i="32"/>
  <c r="I456" i="32"/>
  <c r="I455" i="32" s="1"/>
  <c r="I451" i="32"/>
  <c r="I449" i="32"/>
  <c r="I447" i="32"/>
  <c r="I439" i="32"/>
  <c r="I436" i="32"/>
  <c r="I432" i="32"/>
  <c r="I429" i="32"/>
  <c r="I417" i="32"/>
  <c r="I412" i="32"/>
  <c r="I411" i="32" s="1"/>
  <c r="I408" i="32"/>
  <c r="I407" i="32" s="1"/>
  <c r="I405" i="32"/>
  <c r="I404" i="32" s="1"/>
  <c r="I397" i="32"/>
  <c r="I396" i="32" s="1"/>
  <c r="I392" i="32"/>
  <c r="I391" i="32" s="1"/>
  <c r="I384" i="32"/>
  <c r="I383" i="32" s="1"/>
  <c r="I382" i="32" s="1"/>
  <c r="I380" i="32"/>
  <c r="I378" i="32"/>
  <c r="I376" i="32"/>
  <c r="I374" i="32"/>
  <c r="I371" i="32"/>
  <c r="I364" i="32"/>
  <c r="I362" i="32"/>
  <c r="I360" i="32"/>
  <c r="I355" i="32"/>
  <c r="I350" i="32"/>
  <c r="I349" i="32" s="1"/>
  <c r="I342" i="32"/>
  <c r="I340" i="32"/>
  <c r="I339" i="32" s="1"/>
  <c r="I336" i="32"/>
  <c r="I335" i="32" s="1"/>
  <c r="I334" i="32" s="1"/>
  <c r="I328" i="32"/>
  <c r="I327" i="32" s="1"/>
  <c r="I326" i="32" s="1"/>
  <c r="I291" i="32"/>
  <c r="I288" i="32"/>
  <c r="I286" i="32"/>
  <c r="I283" i="32"/>
  <c r="I281" i="32"/>
  <c r="I278" i="32"/>
  <c r="I277" i="32" s="1"/>
  <c r="I275" i="32"/>
  <c r="I274" i="32" s="1"/>
  <c r="I270" i="32"/>
  <c r="I268" i="32"/>
  <c r="I265" i="32"/>
  <c r="I264" i="32" s="1"/>
  <c r="I256" i="32"/>
  <c r="I254" i="32"/>
  <c r="I249" i="32"/>
  <c r="I247" i="32"/>
  <c r="I244" i="32"/>
  <c r="I239" i="32"/>
  <c r="I236" i="32"/>
  <c r="I235" i="32" s="1"/>
  <c r="I234" i="32" s="1"/>
  <c r="I229" i="32"/>
  <c r="I227" i="32"/>
  <c r="I224" i="32"/>
  <c r="I221" i="32"/>
  <c r="I216" i="32"/>
  <c r="I215" i="32" s="1"/>
  <c r="I212" i="32"/>
  <c r="I208" i="32"/>
  <c r="I207" i="32" s="1"/>
  <c r="I206" i="32" s="1"/>
  <c r="I204" i="32"/>
  <c r="I203" i="32" s="1"/>
  <c r="I202" i="32" s="1"/>
  <c r="I200" i="32"/>
  <c r="I199" i="32" s="1"/>
  <c r="I198" i="32" s="1"/>
  <c r="I191" i="32"/>
  <c r="I190" i="32" s="1"/>
  <c r="I189" i="32" s="1"/>
  <c r="I170" i="32"/>
  <c r="I169" i="32" s="1"/>
  <c r="I163" i="32"/>
  <c r="I160" i="32"/>
  <c r="I158" i="32"/>
  <c r="I148" i="32"/>
  <c r="I146" i="32"/>
  <c r="I142" i="32"/>
  <c r="I140" i="32"/>
  <c r="I138" i="32"/>
  <c r="I136" i="32"/>
  <c r="I134" i="32"/>
  <c r="I133" i="32"/>
  <c r="I132" i="32" s="1"/>
  <c r="I131" i="32"/>
  <c r="I130" i="32" s="1"/>
  <c r="I121" i="32"/>
  <c r="I120" i="32" s="1"/>
  <c r="I119" i="32" s="1"/>
  <c r="I117" i="32"/>
  <c r="I116" i="32" s="1"/>
  <c r="I113" i="32"/>
  <c r="I111" i="32"/>
  <c r="I107" i="32"/>
  <c r="I105" i="32"/>
  <c r="I103" i="32"/>
  <c r="I101" i="32"/>
  <c r="I97" i="32"/>
  <c r="I96" i="32" s="1"/>
  <c r="I91" i="32"/>
  <c r="I87" i="32"/>
  <c r="I86" i="32" s="1"/>
  <c r="I84" i="32"/>
  <c r="I82" i="32"/>
  <c r="I75" i="32"/>
  <c r="I70" i="32"/>
  <c r="I68" i="32"/>
  <c r="I66" i="32"/>
  <c r="I65" i="32"/>
  <c r="I64" i="32" s="1"/>
  <c r="I58" i="32"/>
  <c r="I55" i="32"/>
  <c r="I53" i="32"/>
  <c r="I51" i="32"/>
  <c r="I48" i="32"/>
  <c r="I43" i="32"/>
  <c r="I33" i="32"/>
  <c r="I30" i="32"/>
  <c r="I27" i="32"/>
  <c r="I26" i="32" s="1"/>
  <c r="I23" i="32"/>
  <c r="I19" i="32"/>
  <c r="I17" i="32"/>
  <c r="I16" i="32" s="1"/>
  <c r="I14" i="32"/>
  <c r="I13" i="32" s="1"/>
  <c r="I11" i="32"/>
  <c r="I10" i="32" s="1"/>
  <c r="F673" i="32"/>
  <c r="F663" i="32"/>
  <c r="F661" i="32"/>
  <c r="F655" i="32"/>
  <c r="F650" i="32"/>
  <c r="F644" i="32"/>
  <c r="F642" i="32"/>
  <c r="F638" i="32"/>
  <c r="F635" i="32"/>
  <c r="F631" i="32"/>
  <c r="F628" i="32"/>
  <c r="F625" i="32"/>
  <c r="F623" i="32"/>
  <c r="F618" i="32"/>
  <c r="F617" i="32" s="1"/>
  <c r="F613" i="32"/>
  <c r="F612" i="32" s="1"/>
  <c r="F607" i="32"/>
  <c r="F606" i="32" s="1"/>
  <c r="F599" i="32"/>
  <c r="F592" i="32"/>
  <c r="F591" i="32" s="1"/>
  <c r="F590" i="32" s="1"/>
  <c r="F589" i="32" s="1"/>
  <c r="F587" i="32"/>
  <c r="F586" i="32" s="1"/>
  <c r="F581" i="32"/>
  <c r="F579" i="32"/>
  <c r="F574" i="32"/>
  <c r="F569" i="32"/>
  <c r="F567" i="32"/>
  <c r="F565" i="32"/>
  <c r="F561" i="32"/>
  <c r="F559" i="32"/>
  <c r="F557" i="32"/>
  <c r="F554" i="32"/>
  <c r="F553" i="32" s="1"/>
  <c r="F550" i="32"/>
  <c r="F549" i="32" s="1"/>
  <c r="F548" i="32" s="1"/>
  <c r="F546" i="32"/>
  <c r="F545" i="32" s="1"/>
  <c r="F544" i="32" s="1"/>
  <c r="F542" i="32"/>
  <c r="F541" i="32" s="1"/>
  <c r="F533" i="32"/>
  <c r="F530" i="32"/>
  <c r="F529" i="32" s="1"/>
  <c r="F526" i="32"/>
  <c r="F525" i="32" s="1"/>
  <c r="F520" i="32"/>
  <c r="F519" i="32" s="1"/>
  <c r="F518" i="32" s="1"/>
  <c r="F514" i="32"/>
  <c r="F513" i="32" s="1"/>
  <c r="F512" i="32" s="1"/>
  <c r="F504" i="32"/>
  <c r="F502" i="32"/>
  <c r="F501" i="32" s="1"/>
  <c r="F486" i="32"/>
  <c r="F477" i="32"/>
  <c r="F455" i="32"/>
  <c r="F453" i="32"/>
  <c r="F451" i="32"/>
  <c r="F449" i="32"/>
  <c r="F447" i="32"/>
  <c r="F439" i="32"/>
  <c r="F437" i="32"/>
  <c r="F436" i="32" s="1"/>
  <c r="F432" i="32"/>
  <c r="F427" i="32"/>
  <c r="F412" i="32"/>
  <c r="F411" i="32" s="1"/>
  <c r="F402" i="32"/>
  <c r="F397" i="32"/>
  <c r="F396" i="32" s="1"/>
  <c r="F392" i="32"/>
  <c r="F384" i="32"/>
  <c r="F383" i="32" s="1"/>
  <c r="F382" i="32" s="1"/>
  <c r="F380" i="32"/>
  <c r="F378" i="32"/>
  <c r="F376" i="32"/>
  <c r="F374" i="32"/>
  <c r="F371" i="32"/>
  <c r="F364" i="32"/>
  <c r="F362" i="32"/>
  <c r="F360" i="32"/>
  <c r="F355" i="32"/>
  <c r="F350" i="32"/>
  <c r="F349" i="32" s="1"/>
  <c r="F342" i="32"/>
  <c r="F340" i="32"/>
  <c r="F336" i="32"/>
  <c r="F335" i="32" s="1"/>
  <c r="F334" i="32" s="1"/>
  <c r="F328" i="32"/>
  <c r="F296" i="32"/>
  <c r="F295" i="32" s="1"/>
  <c r="F292" i="32"/>
  <c r="F288" i="32"/>
  <c r="F286" i="32"/>
  <c r="F283" i="32"/>
  <c r="F281" i="32"/>
  <c r="F278" i="32"/>
  <c r="F277" i="32" s="1"/>
  <c r="F275" i="32"/>
  <c r="F274" i="32" s="1"/>
  <c r="F270" i="32"/>
  <c r="F268" i="32"/>
  <c r="F265" i="32"/>
  <c r="F264" i="32" s="1"/>
  <c r="F256" i="32"/>
  <c r="F254" i="32"/>
  <c r="F247" i="32"/>
  <c r="F239" i="32"/>
  <c r="F236" i="32"/>
  <c r="F235" i="32" s="1"/>
  <c r="F234" i="32" s="1"/>
  <c r="F229" i="32"/>
  <c r="F227" i="32"/>
  <c r="F224" i="32"/>
  <c r="F221" i="32"/>
  <c r="F212" i="32"/>
  <c r="F208" i="32"/>
  <c r="F207" i="32" s="1"/>
  <c r="F206" i="32" s="1"/>
  <c r="F204" i="32"/>
  <c r="F203" i="32" s="1"/>
  <c r="F202" i="32" s="1"/>
  <c r="F200" i="32"/>
  <c r="F199" i="32" s="1"/>
  <c r="F198" i="32" s="1"/>
  <c r="F191" i="32"/>
  <c r="F190" i="32" s="1"/>
  <c r="F189" i="32" s="1"/>
  <c r="F176" i="32"/>
  <c r="F175" i="32" s="1"/>
  <c r="F174" i="32" s="1"/>
  <c r="F170" i="32"/>
  <c r="F169" i="32" s="1"/>
  <c r="F162" i="32" s="1"/>
  <c r="F160" i="32"/>
  <c r="F158" i="32"/>
  <c r="F142" i="32"/>
  <c r="F141" i="32"/>
  <c r="F140" i="32" s="1"/>
  <c r="F138" i="32"/>
  <c r="F136" i="32"/>
  <c r="F134" i="32"/>
  <c r="F121" i="32"/>
  <c r="F120" i="32" s="1"/>
  <c r="F119" i="32" s="1"/>
  <c r="F117" i="32"/>
  <c r="F116" i="32" s="1"/>
  <c r="F113" i="32"/>
  <c r="F111" i="32"/>
  <c r="F107" i="32"/>
  <c r="F105" i="32"/>
  <c r="F103" i="32"/>
  <c r="F101" i="32"/>
  <c r="F97" i="32"/>
  <c r="F96" i="32" s="1"/>
  <c r="F91" i="32"/>
  <c r="F87" i="32"/>
  <c r="F86" i="32" s="1"/>
  <c r="F84" i="32"/>
  <c r="F82" i="32"/>
  <c r="F75" i="32"/>
  <c r="F70" i="32"/>
  <c r="F68" i="32"/>
  <c r="F66" i="32"/>
  <c r="F65" i="32"/>
  <c r="F64" i="32" s="1"/>
  <c r="F58" i="32"/>
  <c r="F55" i="32"/>
  <c r="F53" i="32"/>
  <c r="F51" i="32"/>
  <c r="F48" i="32"/>
  <c r="F43" i="32"/>
  <c r="F33" i="32"/>
  <c r="F19" i="32"/>
  <c r="F17" i="32"/>
  <c r="F14" i="32"/>
  <c r="F13" i="32" s="1"/>
  <c r="F11" i="32"/>
  <c r="F10" i="32" s="1"/>
  <c r="F528" i="32" l="1"/>
  <c r="H245" i="54"/>
  <c r="F630" i="32"/>
  <c r="H477" i="54"/>
  <c r="H476" i="54" s="1"/>
  <c r="H468" i="54" s="1"/>
  <c r="F348" i="32"/>
  <c r="H217" i="54"/>
  <c r="H216" i="54" s="1"/>
  <c r="F616" i="32"/>
  <c r="F615" i="32" s="1"/>
  <c r="I616" i="32"/>
  <c r="I615" i="32" s="1"/>
  <c r="F36" i="32"/>
  <c r="F35" i="32" s="1"/>
  <c r="I348" i="32"/>
  <c r="F524" i="32"/>
  <c r="F523" i="32" s="1"/>
  <c r="H236" i="54"/>
  <c r="H235" i="54" s="1"/>
  <c r="H234" i="54" s="1"/>
  <c r="H233" i="54" s="1"/>
  <c r="H438" i="54"/>
  <c r="H105" i="54"/>
  <c r="H104" i="54" s="1"/>
  <c r="K682" i="54"/>
  <c r="K681" i="54" s="1"/>
  <c r="K680" i="54" s="1"/>
  <c r="K679" i="54" s="1"/>
  <c r="K678" i="54" s="1"/>
  <c r="L682" i="54"/>
  <c r="L681" i="54" s="1"/>
  <c r="L680" i="54" s="1"/>
  <c r="L679" i="54" s="1"/>
  <c r="L678" i="54" s="1"/>
  <c r="L600" i="54"/>
  <c r="L595" i="54" s="1"/>
  <c r="L594" i="54" s="1"/>
  <c r="L593" i="54" s="1"/>
  <c r="L592" i="54" s="1"/>
  <c r="L591" i="54" s="1"/>
  <c r="N602" i="54"/>
  <c r="L625" i="54"/>
  <c r="L622" i="54" s="1"/>
  <c r="N627" i="54"/>
  <c r="J77" i="32"/>
  <c r="J74" i="32" s="1"/>
  <c r="J73" i="32" s="1"/>
  <c r="L79" i="32"/>
  <c r="I145" i="32"/>
  <c r="I144" i="32" s="1"/>
  <c r="F339" i="32"/>
  <c r="J145" i="32"/>
  <c r="J144" i="32" s="1"/>
  <c r="J94" i="32"/>
  <c r="J93" i="32" s="1"/>
  <c r="J90" i="32" s="1"/>
  <c r="L95" i="32"/>
  <c r="F438" i="32"/>
  <c r="K825" i="54"/>
  <c r="K824" i="54" s="1"/>
  <c r="K823" i="54" s="1"/>
  <c r="K822" i="54" s="1"/>
  <c r="K821" i="54" s="1"/>
  <c r="L825" i="54"/>
  <c r="L824" i="54" s="1"/>
  <c r="L823" i="54" s="1"/>
  <c r="L822" i="54" s="1"/>
  <c r="L821" i="54" s="1"/>
  <c r="H768" i="54"/>
  <c r="H767" i="54" s="1"/>
  <c r="H766" i="54" s="1"/>
  <c r="H765" i="54" s="1"/>
  <c r="H764" i="54" s="1"/>
  <c r="F327" i="32"/>
  <c r="F326" i="32" s="1"/>
  <c r="H824" i="54"/>
  <c r="H823" i="54" s="1"/>
  <c r="H829" i="54"/>
  <c r="H828" i="54" s="1"/>
  <c r="H177" i="54"/>
  <c r="H176" i="54" s="1"/>
  <c r="F290" i="32"/>
  <c r="F267" i="32"/>
  <c r="F508" i="32"/>
  <c r="I630" i="32"/>
  <c r="E7" i="32"/>
  <c r="E685" i="32" s="1"/>
  <c r="F359" i="32"/>
  <c r="F358" i="32" s="1"/>
  <c r="I401" i="32"/>
  <c r="F416" i="32"/>
  <c r="F598" i="32"/>
  <c r="F597" i="32" s="1"/>
  <c r="H279" i="54"/>
  <c r="H278" i="54" s="1"/>
  <c r="H811" i="54"/>
  <c r="H810" i="54" s="1"/>
  <c r="H809" i="54" s="1"/>
  <c r="H808" i="54" s="1"/>
  <c r="L555" i="54"/>
  <c r="L554" i="54" s="1"/>
  <c r="L553" i="54" s="1"/>
  <c r="H523" i="54"/>
  <c r="H845" i="54"/>
  <c r="K523" i="54"/>
  <c r="L523" i="54"/>
  <c r="K245" i="54"/>
  <c r="K236" i="54" s="1"/>
  <c r="K235" i="54" s="1"/>
  <c r="K234" i="54" s="1"/>
  <c r="K233" i="54" s="1"/>
  <c r="K279" i="54"/>
  <c r="K278" i="54" s="1"/>
  <c r="K266" i="54" s="1"/>
  <c r="K265" i="54" s="1"/>
  <c r="H695" i="54"/>
  <c r="H694" i="54" s="1"/>
  <c r="H693" i="54" s="1"/>
  <c r="K160" i="54"/>
  <c r="K159" i="54" s="1"/>
  <c r="K158" i="54" s="1"/>
  <c r="K157" i="54" s="1"/>
  <c r="J630" i="32"/>
  <c r="F243" i="32"/>
  <c r="F242" i="32" s="1"/>
  <c r="H309" i="54"/>
  <c r="H308" i="54" s="1"/>
  <c r="H303" i="54" s="1"/>
  <c r="H302" i="54" s="1"/>
  <c r="H485" i="54"/>
  <c r="H484" i="54" s="1"/>
  <c r="H417" i="54"/>
  <c r="K309" i="54"/>
  <c r="K308" i="54" s="1"/>
  <c r="K303" i="54" s="1"/>
  <c r="K302" i="54" s="1"/>
  <c r="J280" i="32"/>
  <c r="J528" i="32"/>
  <c r="J524" i="32" s="1"/>
  <c r="J523" i="32" s="1"/>
  <c r="I243" i="32"/>
  <c r="I242" i="32" s="1"/>
  <c r="H268" i="54"/>
  <c r="H267" i="54" s="1"/>
  <c r="L403" i="54"/>
  <c r="L402" i="54" s="1"/>
  <c r="L404" i="54"/>
  <c r="H403" i="54"/>
  <c r="H402" i="54" s="1"/>
  <c r="H404" i="54"/>
  <c r="K403" i="54"/>
  <c r="K402" i="54" s="1"/>
  <c r="K404" i="54"/>
  <c r="L148" i="54"/>
  <c r="L147" i="54" s="1"/>
  <c r="L146" i="54" s="1"/>
  <c r="L145" i="54" s="1"/>
  <c r="K394" i="54"/>
  <c r="K393" i="54" s="1"/>
  <c r="H911" i="54"/>
  <c r="H910" i="54" s="1"/>
  <c r="H909" i="54" s="1"/>
  <c r="H908" i="54" s="1"/>
  <c r="H907" i="54" s="1"/>
  <c r="H906" i="54" s="1"/>
  <c r="L746" i="54"/>
  <c r="L745" i="54" s="1"/>
  <c r="L896" i="54"/>
  <c r="H393" i="54"/>
  <c r="L394" i="54"/>
  <c r="L393" i="54" s="1"/>
  <c r="K438" i="54"/>
  <c r="K738" i="54"/>
  <c r="K737" i="54" s="1"/>
  <c r="K896" i="54"/>
  <c r="K346" i="54"/>
  <c r="K345" i="54" s="1"/>
  <c r="H901" i="54"/>
  <c r="K901" i="54"/>
  <c r="L105" i="54"/>
  <c r="L104" i="54" s="1"/>
  <c r="H160" i="54"/>
  <c r="H159" i="54" s="1"/>
  <c r="H158" i="54" s="1"/>
  <c r="H157" i="54" s="1"/>
  <c r="H738" i="54"/>
  <c r="H737" i="54" s="1"/>
  <c r="K185" i="54"/>
  <c r="K184" i="54" s="1"/>
  <c r="K175" i="54" s="1"/>
  <c r="K174" i="54" s="1"/>
  <c r="K173" i="54" s="1"/>
  <c r="K811" i="54"/>
  <c r="K810" i="54" s="1"/>
  <c r="K809" i="54" s="1"/>
  <c r="K808" i="54" s="1"/>
  <c r="K911" i="54"/>
  <c r="K910" i="54" s="1"/>
  <c r="K909" i="54" s="1"/>
  <c r="K908" i="54" s="1"/>
  <c r="K907" i="54" s="1"/>
  <c r="K906" i="54" s="1"/>
  <c r="L279" i="54"/>
  <c r="L278" i="54" s="1"/>
  <c r="L266" i="54" s="1"/>
  <c r="L265" i="54" s="1"/>
  <c r="L309" i="54"/>
  <c r="L308" i="54" s="1"/>
  <c r="L303" i="54" s="1"/>
  <c r="L302" i="54" s="1"/>
  <c r="L704" i="54"/>
  <c r="L703" i="54" s="1"/>
  <c r="L938" i="54"/>
  <c r="L937" i="54" s="1"/>
  <c r="L936" i="54" s="1"/>
  <c r="L935" i="54" s="1"/>
  <c r="L934" i="54" s="1"/>
  <c r="L955" i="54"/>
  <c r="L954" i="54" s="1"/>
  <c r="L953" i="54" s="1"/>
  <c r="L952" i="54" s="1"/>
  <c r="L951" i="54" s="1"/>
  <c r="L950" i="54" s="1"/>
  <c r="L949" i="54" s="1"/>
  <c r="L845" i="54"/>
  <c r="L841" i="54" s="1"/>
  <c r="L840" i="54" s="1"/>
  <c r="L839" i="54" s="1"/>
  <c r="L838" i="54" s="1"/>
  <c r="H716" i="54"/>
  <c r="H715" i="54" s="1"/>
  <c r="H790" i="54"/>
  <c r="H789" i="54" s="1"/>
  <c r="H788" i="54" s="1"/>
  <c r="H787" i="54" s="1"/>
  <c r="K80" i="54"/>
  <c r="L160" i="54"/>
  <c r="L159" i="54" s="1"/>
  <c r="L158" i="54" s="1"/>
  <c r="L157" i="54" s="1"/>
  <c r="L209" i="54"/>
  <c r="L205" i="54" s="1"/>
  <c r="L204" i="54" s="1"/>
  <c r="L203" i="54" s="1"/>
  <c r="L695" i="54"/>
  <c r="L694" i="54" s="1"/>
  <c r="L693" i="54" s="1"/>
  <c r="L901" i="54"/>
  <c r="H24" i="54"/>
  <c r="H23" i="54" s="1"/>
  <c r="H586" i="54"/>
  <c r="H632" i="54"/>
  <c r="K209" i="54"/>
  <c r="K205" i="54" s="1"/>
  <c r="K845" i="54"/>
  <c r="K841" i="54" s="1"/>
  <c r="K840" i="54" s="1"/>
  <c r="K839" i="54" s="1"/>
  <c r="K838" i="54" s="1"/>
  <c r="L245" i="54"/>
  <c r="L236" i="54" s="1"/>
  <c r="L235" i="54" s="1"/>
  <c r="L234" i="54" s="1"/>
  <c r="L233" i="54" s="1"/>
  <c r="L438" i="54"/>
  <c r="L716" i="54"/>
  <c r="L715" i="54" s="1"/>
  <c r="L738" i="54"/>
  <c r="L737" i="54" s="1"/>
  <c r="L451" i="54"/>
  <c r="H185" i="54"/>
  <c r="H184" i="54" s="1"/>
  <c r="H704" i="54"/>
  <c r="H703" i="54" s="1"/>
  <c r="H888" i="54"/>
  <c r="H887" i="54" s="1"/>
  <c r="H886" i="54" s="1"/>
  <c r="K105" i="54"/>
  <c r="K104" i="54" s="1"/>
  <c r="K148" i="54"/>
  <c r="K147" i="54" s="1"/>
  <c r="K146" i="54" s="1"/>
  <c r="K145" i="54" s="1"/>
  <c r="K216" i="54"/>
  <c r="K585" i="54"/>
  <c r="K584" i="54" s="1"/>
  <c r="K583" i="54" s="1"/>
  <c r="K582" i="54" s="1"/>
  <c r="K746" i="54"/>
  <c r="K745" i="54" s="1"/>
  <c r="K767" i="54"/>
  <c r="K766" i="54" s="1"/>
  <c r="K765" i="54" s="1"/>
  <c r="K764" i="54" s="1"/>
  <c r="L80" i="54"/>
  <c r="L417" i="54"/>
  <c r="H209" i="54"/>
  <c r="H205" i="54" s="1"/>
  <c r="K790" i="54"/>
  <c r="K789" i="54" s="1"/>
  <c r="K788" i="54" s="1"/>
  <c r="K787" i="54" s="1"/>
  <c r="H554" i="54"/>
  <c r="H553" i="54" s="1"/>
  <c r="H86" i="54"/>
  <c r="H85" i="54" s="1"/>
  <c r="H148" i="54"/>
  <c r="H147" i="54" s="1"/>
  <c r="H146" i="54" s="1"/>
  <c r="H145" i="54" s="1"/>
  <c r="H746" i="54"/>
  <c r="H745" i="54" s="1"/>
  <c r="H896" i="54"/>
  <c r="H938" i="54"/>
  <c r="H937" i="54" s="1"/>
  <c r="H936" i="54" s="1"/>
  <c r="H935" i="54" s="1"/>
  <c r="H934" i="54" s="1"/>
  <c r="K24" i="54"/>
  <c r="K23" i="54" s="1"/>
  <c r="K333" i="54"/>
  <c r="K417" i="54"/>
  <c r="K695" i="54"/>
  <c r="K694" i="54" s="1"/>
  <c r="K693" i="54" s="1"/>
  <c r="L24" i="54"/>
  <c r="L23" i="54" s="1"/>
  <c r="L346" i="54"/>
  <c r="L345" i="54" s="1"/>
  <c r="L330" i="54" s="1"/>
  <c r="L329" i="54" s="1"/>
  <c r="L468" i="54"/>
  <c r="L467" i="54" s="1"/>
  <c r="L586" i="54"/>
  <c r="K555" i="54"/>
  <c r="K554" i="54" s="1"/>
  <c r="K553" i="54" s="1"/>
  <c r="K673" i="54"/>
  <c r="K672" i="54" s="1"/>
  <c r="K671" i="54" s="1"/>
  <c r="K670" i="54" s="1"/>
  <c r="K669" i="54" s="1"/>
  <c r="K704" i="54"/>
  <c r="K703" i="54" s="1"/>
  <c r="K716" i="54"/>
  <c r="K715" i="54" s="1"/>
  <c r="K888" i="54"/>
  <c r="K887" i="54" s="1"/>
  <c r="K886" i="54" s="1"/>
  <c r="K938" i="54"/>
  <c r="K937" i="54" s="1"/>
  <c r="K936" i="54" s="1"/>
  <c r="K935" i="54" s="1"/>
  <c r="K934" i="54" s="1"/>
  <c r="K955" i="54"/>
  <c r="K954" i="54" s="1"/>
  <c r="K953" i="54" s="1"/>
  <c r="K952" i="54" s="1"/>
  <c r="K951" i="54" s="1"/>
  <c r="K950" i="54" s="1"/>
  <c r="K949" i="54" s="1"/>
  <c r="L185" i="54"/>
  <c r="L184" i="54" s="1"/>
  <c r="L175" i="54" s="1"/>
  <c r="L174" i="54" s="1"/>
  <c r="L173" i="54" s="1"/>
  <c r="L888" i="54"/>
  <c r="L887" i="54" s="1"/>
  <c r="L886" i="54" s="1"/>
  <c r="F291" i="32"/>
  <c r="I556" i="32"/>
  <c r="I552" i="32" s="1"/>
  <c r="J359" i="32"/>
  <c r="J358" i="32" s="1"/>
  <c r="I564" i="32"/>
  <c r="J285" i="32"/>
  <c r="F16" i="32"/>
  <c r="F9" i="32" s="1"/>
  <c r="F285" i="32"/>
  <c r="I338" i="32"/>
  <c r="I598" i="32"/>
  <c r="I597" i="32" s="1"/>
  <c r="F211" i="32"/>
  <c r="I36" i="32"/>
  <c r="I35" i="32" s="1"/>
  <c r="I162" i="32"/>
  <c r="I226" i="32"/>
  <c r="J162" i="32"/>
  <c r="J226" i="32"/>
  <c r="I370" i="32"/>
  <c r="I369" i="32" s="1"/>
  <c r="I368" i="32" s="1"/>
  <c r="I416" i="32"/>
  <c r="I508" i="32"/>
  <c r="I267" i="32"/>
  <c r="J556" i="32"/>
  <c r="J552" i="32" s="1"/>
  <c r="J592" i="32"/>
  <c r="J591" i="32" s="1"/>
  <c r="J590" i="32" s="1"/>
  <c r="J589" i="32" s="1"/>
  <c r="F370" i="32"/>
  <c r="F369" i="32" s="1"/>
  <c r="F368" i="32" s="1"/>
  <c r="I528" i="32"/>
  <c r="I524" i="32" s="1"/>
  <c r="I622" i="32"/>
  <c r="J416" i="32"/>
  <c r="H75" i="54"/>
  <c r="H68" i="54" s="1"/>
  <c r="F389" i="32"/>
  <c r="I388" i="32"/>
  <c r="J622" i="32"/>
  <c r="F391" i="32"/>
  <c r="F388" i="32" s="1"/>
  <c r="F387" i="32" s="1"/>
  <c r="I285" i="32"/>
  <c r="I402" i="32"/>
  <c r="J157" i="32"/>
  <c r="F280" i="32"/>
  <c r="I157" i="32"/>
  <c r="I280" i="32"/>
  <c r="I438" i="32"/>
  <c r="J389" i="32"/>
  <c r="F100" i="32"/>
  <c r="F157" i="32"/>
  <c r="F564" i="32"/>
  <c r="I22" i="32"/>
  <c r="I21" i="32" s="1"/>
  <c r="I100" i="32"/>
  <c r="I359" i="32"/>
  <c r="I358" i="32" s="1"/>
  <c r="I389" i="32"/>
  <c r="I573" i="32"/>
  <c r="J348" i="32"/>
  <c r="J338" i="32" s="1"/>
  <c r="J438" i="32"/>
  <c r="J564" i="32"/>
  <c r="J598" i="32"/>
  <c r="J597" i="32" s="1"/>
  <c r="K68" i="54"/>
  <c r="F226" i="32"/>
  <c r="F556" i="32"/>
  <c r="F552" i="32" s="1"/>
  <c r="F573" i="32"/>
  <c r="F622" i="32"/>
  <c r="I9" i="32"/>
  <c r="I129" i="32"/>
  <c r="I128" i="32" s="1"/>
  <c r="J100" i="32"/>
  <c r="J129" i="32"/>
  <c r="J128" i="32" s="1"/>
  <c r="J243" i="32"/>
  <c r="J242" i="32" s="1"/>
  <c r="J370" i="32"/>
  <c r="J369" i="32" s="1"/>
  <c r="J368" i="32" s="1"/>
  <c r="J573" i="32"/>
  <c r="I211" i="32"/>
  <c r="I462" i="32"/>
  <c r="I461" i="32" s="1"/>
  <c r="J9" i="32"/>
  <c r="J22" i="32"/>
  <c r="J21" i="32" s="1"/>
  <c r="J36" i="32"/>
  <c r="J35" i="32" s="1"/>
  <c r="J267" i="32"/>
  <c r="J220" i="32"/>
  <c r="F220" i="32"/>
  <c r="I220" i="32"/>
  <c r="L33" i="54"/>
  <c r="L32" i="54" s="1"/>
  <c r="L68" i="54"/>
  <c r="L632" i="54"/>
  <c r="L673" i="54"/>
  <c r="L672" i="54" s="1"/>
  <c r="L671" i="54" s="1"/>
  <c r="L670" i="54" s="1"/>
  <c r="L669" i="54" s="1"/>
  <c r="L790" i="54"/>
  <c r="L789" i="54" s="1"/>
  <c r="L788" i="54" s="1"/>
  <c r="L787" i="54" s="1"/>
  <c r="L811" i="54"/>
  <c r="L810" i="54" s="1"/>
  <c r="L809" i="54" s="1"/>
  <c r="L808" i="54" s="1"/>
  <c r="L540" i="54"/>
  <c r="L539" i="54"/>
  <c r="L538" i="54" s="1"/>
  <c r="L537" i="54" s="1"/>
  <c r="L10" i="54"/>
  <c r="L9" i="54" s="1"/>
  <c r="L8" i="54" s="1"/>
  <c r="L11" i="54"/>
  <c r="L767" i="54"/>
  <c r="L766" i="54" s="1"/>
  <c r="L765" i="54" s="1"/>
  <c r="L764" i="54" s="1"/>
  <c r="K468" i="54"/>
  <c r="K10" i="54"/>
  <c r="K9" i="54" s="1"/>
  <c r="K8" i="54" s="1"/>
  <c r="K11" i="54"/>
  <c r="K332" i="54"/>
  <c r="K331" i="54" s="1"/>
  <c r="K33" i="54"/>
  <c r="K32" i="54" s="1"/>
  <c r="K451" i="54"/>
  <c r="K632" i="54"/>
  <c r="K539" i="54"/>
  <c r="K538" i="54" s="1"/>
  <c r="K537" i="54" s="1"/>
  <c r="H11" i="54"/>
  <c r="H10" i="54"/>
  <c r="H9" i="54" s="1"/>
  <c r="H8" i="54" s="1"/>
  <c r="H540" i="54"/>
  <c r="H539" i="54"/>
  <c r="H538" i="54" s="1"/>
  <c r="H537" i="54" s="1"/>
  <c r="H81" i="54"/>
  <c r="J197" i="32"/>
  <c r="J462" i="32"/>
  <c r="J461" i="32" s="1"/>
  <c r="J508" i="32"/>
  <c r="J391" i="32"/>
  <c r="J388" i="32" s="1"/>
  <c r="J387" i="32" s="1"/>
  <c r="I197" i="32"/>
  <c r="F197" i="32"/>
  <c r="H204" i="54" l="1"/>
  <c r="H203" i="54" s="1"/>
  <c r="H702" i="54"/>
  <c r="H692" i="54" s="1"/>
  <c r="H691" i="54" s="1"/>
  <c r="K732" i="54"/>
  <c r="K731" i="54" s="1"/>
  <c r="K730" i="54" s="1"/>
  <c r="K729" i="54" s="1"/>
  <c r="K522" i="54"/>
  <c r="K521" i="54" s="1"/>
  <c r="K513" i="54" s="1"/>
  <c r="H522" i="54"/>
  <c r="H521" i="54" s="1"/>
  <c r="H822" i="54"/>
  <c r="H821" i="54" s="1"/>
  <c r="H807" i="54" s="1"/>
  <c r="K411" i="54"/>
  <c r="K401" i="54" s="1"/>
  <c r="K400" i="54" s="1"/>
  <c r="K399" i="54" s="1"/>
  <c r="I523" i="32"/>
  <c r="J156" i="32"/>
  <c r="F338" i="32"/>
  <c r="I156" i="32"/>
  <c r="I563" i="32"/>
  <c r="K807" i="54"/>
  <c r="L732" i="54"/>
  <c r="L731" i="54" s="1"/>
  <c r="L730" i="54" s="1"/>
  <c r="L729" i="54" s="1"/>
  <c r="L522" i="54"/>
  <c r="L521" i="54" s="1"/>
  <c r="L513" i="54" s="1"/>
  <c r="H67" i="54"/>
  <c r="H66" i="54" s="1"/>
  <c r="H65" i="54" s="1"/>
  <c r="L22" i="54"/>
  <c r="L21" i="54" s="1"/>
  <c r="L20" i="54" s="1"/>
  <c r="H175" i="54"/>
  <c r="H174" i="54" s="1"/>
  <c r="H173" i="54" s="1"/>
  <c r="H144" i="54" s="1"/>
  <c r="H411" i="54"/>
  <c r="H266" i="54"/>
  <c r="H265" i="54" s="1"/>
  <c r="H841" i="54"/>
  <c r="H840" i="54" s="1"/>
  <c r="H839" i="54" s="1"/>
  <c r="H838" i="54" s="1"/>
  <c r="I263" i="32"/>
  <c r="I262" i="32" s="1"/>
  <c r="I8" i="32"/>
  <c r="J357" i="32"/>
  <c r="F263" i="32"/>
  <c r="F262" i="32" s="1"/>
  <c r="L466" i="54"/>
  <c r="L328" i="54"/>
  <c r="H895" i="54"/>
  <c r="H885" i="54" s="1"/>
  <c r="H884" i="54" s="1"/>
  <c r="L411" i="54"/>
  <c r="L401" i="54" s="1"/>
  <c r="L400" i="54" s="1"/>
  <c r="L399" i="54" s="1"/>
  <c r="H732" i="54"/>
  <c r="H731" i="54" s="1"/>
  <c r="H730" i="54" s="1"/>
  <c r="H729" i="54" s="1"/>
  <c r="K204" i="54"/>
  <c r="K203" i="54" s="1"/>
  <c r="K202" i="54" s="1"/>
  <c r="L895" i="54"/>
  <c r="L885" i="54" s="1"/>
  <c r="L884" i="54" s="1"/>
  <c r="L837" i="54" s="1"/>
  <c r="K330" i="54"/>
  <c r="K329" i="54" s="1"/>
  <c r="K328" i="54" s="1"/>
  <c r="L144" i="54"/>
  <c r="L702" i="54"/>
  <c r="L692" i="54" s="1"/>
  <c r="L691" i="54" s="1"/>
  <c r="L202" i="54"/>
  <c r="K144" i="54"/>
  <c r="K895" i="54"/>
  <c r="K885" i="54" s="1"/>
  <c r="K884" i="54" s="1"/>
  <c r="K837" i="54" s="1"/>
  <c r="L67" i="54"/>
  <c r="L66" i="54" s="1"/>
  <c r="L65" i="54" s="1"/>
  <c r="K67" i="54"/>
  <c r="K66" i="54" s="1"/>
  <c r="K65" i="54" s="1"/>
  <c r="K22" i="54"/>
  <c r="K21" i="54" s="1"/>
  <c r="K20" i="54" s="1"/>
  <c r="L807" i="54"/>
  <c r="K702" i="54"/>
  <c r="K692" i="54" s="1"/>
  <c r="K691" i="54" s="1"/>
  <c r="J263" i="32"/>
  <c r="J262" i="32" s="1"/>
  <c r="I410" i="32"/>
  <c r="F357" i="32"/>
  <c r="I621" i="32"/>
  <c r="I387" i="32"/>
  <c r="J89" i="32"/>
  <c r="J210" i="32"/>
  <c r="F410" i="32"/>
  <c r="J621" i="32"/>
  <c r="J410" i="32"/>
  <c r="J386" i="32" s="1"/>
  <c r="F210" i="32"/>
  <c r="J563" i="32"/>
  <c r="I357" i="32"/>
  <c r="J8" i="32"/>
  <c r="F621" i="32"/>
  <c r="F156" i="32"/>
  <c r="I210" i="32"/>
  <c r="F563" i="32"/>
  <c r="L621" i="54"/>
  <c r="L620" i="54" s="1"/>
  <c r="L619" i="54" s="1"/>
  <c r="L618" i="54" s="1"/>
  <c r="K466" i="54"/>
  <c r="K467" i="54"/>
  <c r="H466" i="54"/>
  <c r="H467" i="54"/>
  <c r="L234" i="32"/>
  <c r="H369" i="54"/>
  <c r="H368" i="54" s="1"/>
  <c r="H381" i="54"/>
  <c r="H380" i="54" s="1"/>
  <c r="H379" i="54" s="1"/>
  <c r="H202" i="54" l="1"/>
  <c r="J72" i="32"/>
  <c r="J7" i="32" s="1"/>
  <c r="J685" i="32" s="1"/>
  <c r="K786" i="54"/>
  <c r="L7" i="54"/>
  <c r="F380" i="54"/>
  <c r="F368" i="54"/>
  <c r="L786" i="54"/>
  <c r="L301" i="54"/>
  <c r="H367" i="54"/>
  <c r="H837" i="54"/>
  <c r="H786" i="54" s="1"/>
  <c r="D484" i="32"/>
  <c r="F485" i="32"/>
  <c r="F484" i="32" s="1"/>
  <c r="F483" i="32" s="1"/>
  <c r="K7" i="54"/>
  <c r="L590" i="54"/>
  <c r="L573" i="54" s="1"/>
  <c r="K301" i="54"/>
  <c r="I386" i="32"/>
  <c r="L6" i="54" l="1"/>
  <c r="L966" i="54" s="1"/>
  <c r="K6" i="54"/>
  <c r="I117" i="54" l="1"/>
  <c r="L646" i="32"/>
  <c r="G646" i="32"/>
  <c r="N333" i="54" l="1"/>
  <c r="F333" i="54"/>
  <c r="L402" i="32" l="1"/>
  <c r="D402" i="32"/>
  <c r="H347" i="54" l="1"/>
  <c r="F463" i="32"/>
  <c r="F462" i="32" s="1"/>
  <c r="F461" i="32" l="1"/>
  <c r="F386" i="32" s="1"/>
  <c r="F379" i="54"/>
  <c r="F376" i="54"/>
  <c r="F370" i="54"/>
  <c r="H661" i="54"/>
  <c r="H654" i="54" s="1"/>
  <c r="F491" i="54"/>
  <c r="N677" i="54"/>
  <c r="I677" i="54"/>
  <c r="H677" i="54"/>
  <c r="H676" i="54" s="1"/>
  <c r="N675" i="54"/>
  <c r="I675" i="54"/>
  <c r="H675" i="54"/>
  <c r="H674" i="54" s="1"/>
  <c r="D437" i="32"/>
  <c r="L133" i="32"/>
  <c r="G133" i="32"/>
  <c r="F133" i="32"/>
  <c r="F132" i="32" s="1"/>
  <c r="L131" i="32"/>
  <c r="G131" i="32"/>
  <c r="F131" i="32"/>
  <c r="F130" i="32" s="1"/>
  <c r="G121" i="32"/>
  <c r="D121" i="32"/>
  <c r="H673" i="54" l="1"/>
  <c r="H672" i="54" s="1"/>
  <c r="H671" i="54" s="1"/>
  <c r="H670" i="54" s="1"/>
  <c r="H669" i="54" s="1"/>
  <c r="F129" i="32"/>
  <c r="F128" i="32" s="1"/>
  <c r="F367" i="54"/>
  <c r="H653" i="54"/>
  <c r="F173" i="32"/>
  <c r="L27" i="32"/>
  <c r="G27" i="32"/>
  <c r="F27" i="32"/>
  <c r="N480" i="54" l="1"/>
  <c r="I480" i="54"/>
  <c r="F480" i="54"/>
  <c r="N478" i="54"/>
  <c r="N477" i="54" s="1"/>
  <c r="N476" i="54" s="1"/>
  <c r="I478" i="54"/>
  <c r="I477" i="54" s="1"/>
  <c r="I476" i="54" s="1"/>
  <c r="F478" i="54"/>
  <c r="L504" i="32"/>
  <c r="G504" i="32"/>
  <c r="D504" i="32"/>
  <c r="L502" i="32"/>
  <c r="G502" i="32"/>
  <c r="D502" i="32"/>
  <c r="F477" i="54" l="1"/>
  <c r="F476" i="54" s="1"/>
  <c r="L501" i="32"/>
  <c r="G501" i="32"/>
  <c r="D501" i="32"/>
  <c r="N490" i="54"/>
  <c r="N489" i="54" s="1"/>
  <c r="I490" i="54"/>
  <c r="F490" i="54"/>
  <c r="F489" i="54" s="1"/>
  <c r="L120" i="32"/>
  <c r="L119" i="32" s="1"/>
  <c r="G120" i="32"/>
  <c r="G119" i="32" s="1"/>
  <c r="D120" i="32"/>
  <c r="D119" i="32" s="1"/>
  <c r="N771" i="54" l="1"/>
  <c r="I771" i="54"/>
  <c r="F771" i="54"/>
  <c r="L342" i="32"/>
  <c r="G342" i="32"/>
  <c r="G569" i="32" l="1"/>
  <c r="D569" i="32"/>
  <c r="H958" i="54" l="1"/>
  <c r="H956" i="54" s="1"/>
  <c r="H955" i="54" s="1"/>
  <c r="H954" i="54" s="1"/>
  <c r="H953" i="54" s="1"/>
  <c r="H952" i="54" s="1"/>
  <c r="H951" i="54" s="1"/>
  <c r="H950" i="54" s="1"/>
  <c r="H949" i="54" s="1"/>
  <c r="F28" i="32"/>
  <c r="F26" i="32" s="1"/>
  <c r="F22" i="32" l="1"/>
  <c r="F21" i="32" s="1"/>
  <c r="F8" i="32" s="1"/>
  <c r="G40" i="32"/>
  <c r="D40" i="32"/>
  <c r="D231" i="32"/>
  <c r="L58" i="32"/>
  <c r="G58" i="32"/>
  <c r="D58" i="32"/>
  <c r="F52" i="54"/>
  <c r="F712" i="54" l="1"/>
  <c r="H684" i="54"/>
  <c r="H683" i="54" s="1"/>
  <c r="H682" i="54" s="1"/>
  <c r="H681" i="54" s="1"/>
  <c r="H680" i="54" s="1"/>
  <c r="H679" i="54" s="1"/>
  <c r="H678" i="54" s="1"/>
  <c r="D141" i="32"/>
  <c r="F149" i="32"/>
  <c r="F148" i="32" s="1"/>
  <c r="F145" i="32" s="1"/>
  <c r="F144" i="32" s="1"/>
  <c r="N626" i="54"/>
  <c r="I626" i="54"/>
  <c r="H626" i="54"/>
  <c r="H627" i="54" s="1"/>
  <c r="H625" i="54" s="1"/>
  <c r="H622" i="54" s="1"/>
  <c r="K602" i="54"/>
  <c r="K600" i="54" s="1"/>
  <c r="K595" i="54" s="1"/>
  <c r="K594" i="54" s="1"/>
  <c r="K593" i="54" s="1"/>
  <c r="K592" i="54" s="1"/>
  <c r="K591" i="54" s="1"/>
  <c r="H602" i="54"/>
  <c r="H600" i="54" s="1"/>
  <c r="H595" i="54" s="1"/>
  <c r="H594" i="54" s="1"/>
  <c r="H593" i="54" s="1"/>
  <c r="H592" i="54" s="1"/>
  <c r="H591" i="54" s="1"/>
  <c r="I95" i="32"/>
  <c r="I94" i="32" s="1"/>
  <c r="I93" i="32" s="1"/>
  <c r="I90" i="32" s="1"/>
  <c r="I89" i="32" s="1"/>
  <c r="F94" i="32"/>
  <c r="F93" i="32" s="1"/>
  <c r="F90" i="32" s="1"/>
  <c r="F89" i="32" s="1"/>
  <c r="L77" i="32"/>
  <c r="H621" i="54" l="1"/>
  <c r="H620" i="54" s="1"/>
  <c r="H619" i="54" s="1"/>
  <c r="H618" i="54" s="1"/>
  <c r="H590" i="54" s="1"/>
  <c r="H573" i="54" s="1"/>
  <c r="G77" i="32"/>
  <c r="I79" i="32"/>
  <c r="I77" i="32" s="1"/>
  <c r="I74" i="32" s="1"/>
  <c r="I73" i="32" s="1"/>
  <c r="D77" i="32"/>
  <c r="F79" i="32"/>
  <c r="F77" i="32" s="1"/>
  <c r="I529" i="54"/>
  <c r="N640" i="54"/>
  <c r="D350" i="32"/>
  <c r="L355" i="32"/>
  <c r="G355" i="32"/>
  <c r="G236" i="32"/>
  <c r="G235" i="32" s="1"/>
  <c r="G234" i="32" s="1"/>
  <c r="D236" i="32"/>
  <c r="D235" i="32" s="1"/>
  <c r="D234" i="32" s="1"/>
  <c r="F74" i="32" l="1"/>
  <c r="F73" i="32" s="1"/>
  <c r="F72" i="32" s="1"/>
  <c r="F7" i="32" s="1"/>
  <c r="F689" i="32"/>
  <c r="F687" i="32"/>
  <c r="L30" i="32"/>
  <c r="G30" i="32"/>
  <c r="L26" i="32"/>
  <c r="G26" i="32"/>
  <c r="L33" i="32"/>
  <c r="G33" i="32"/>
  <c r="D33" i="32"/>
  <c r="F685" i="32" l="1"/>
  <c r="C18" i="31" s="1"/>
  <c r="C17" i="31" s="1"/>
  <c r="C16" i="31" s="1"/>
  <c r="C15" i="31" s="1"/>
  <c r="N276" i="54"/>
  <c r="N275" i="54" s="1"/>
  <c r="N274" i="54" s="1"/>
  <c r="I276" i="54"/>
  <c r="I275" i="54" s="1"/>
  <c r="I274" i="54" s="1"/>
  <c r="F276" i="54"/>
  <c r="F275" i="54" s="1"/>
  <c r="F274" i="54" s="1"/>
  <c r="L384" i="32" l="1"/>
  <c r="L383" i="32" s="1"/>
  <c r="L382" i="32" s="1"/>
  <c r="G384" i="32"/>
  <c r="G383" i="32" s="1"/>
  <c r="G382" i="32" s="1"/>
  <c r="D384" i="32"/>
  <c r="D383" i="32" s="1"/>
  <c r="D382" i="32" s="1"/>
  <c r="N941" i="54" l="1"/>
  <c r="N959" i="54"/>
  <c r="I959" i="54"/>
  <c r="F959" i="54"/>
  <c r="N639" i="54"/>
  <c r="N944" i="54" l="1"/>
  <c r="I944" i="54"/>
  <c r="F944" i="54"/>
  <c r="L216" i="32"/>
  <c r="G216" i="32"/>
  <c r="L350" i="32"/>
  <c r="G350" i="32"/>
  <c r="N551" i="54" l="1"/>
  <c r="N550" i="54" s="1"/>
  <c r="N549" i="54" s="1"/>
  <c r="N548" i="54" s="1"/>
  <c r="N547" i="54" s="1"/>
  <c r="I551" i="54"/>
  <c r="I550" i="54" s="1"/>
  <c r="I549" i="54" s="1"/>
  <c r="I548" i="54" s="1"/>
  <c r="I547" i="54" s="1"/>
  <c r="F547" i="54"/>
  <c r="N326" i="54"/>
  <c r="N325" i="54" s="1"/>
  <c r="N324" i="54" s="1"/>
  <c r="N323" i="54" s="1"/>
  <c r="N322" i="54" s="1"/>
  <c r="I326" i="54"/>
  <c r="I325" i="54" s="1"/>
  <c r="I324" i="54" s="1"/>
  <c r="I323" i="54" s="1"/>
  <c r="I322" i="54" s="1"/>
  <c r="L593" i="32"/>
  <c r="L595" i="32"/>
  <c r="N964" i="54"/>
  <c r="N963" i="54" s="1"/>
  <c r="N962" i="54" s="1"/>
  <c r="N961" i="54" s="1"/>
  <c r="I964" i="54"/>
  <c r="I963" i="54" s="1"/>
  <c r="I962" i="54" s="1"/>
  <c r="I961" i="54" s="1"/>
  <c r="F964" i="54"/>
  <c r="F963" i="54" s="1"/>
  <c r="F962" i="54" s="1"/>
  <c r="F961" i="54" s="1"/>
  <c r="N956" i="54"/>
  <c r="I956" i="54"/>
  <c r="F956" i="54"/>
  <c r="I947" i="54"/>
  <c r="I946" i="54" s="1"/>
  <c r="F947" i="54"/>
  <c r="F946" i="54" s="1"/>
  <c r="I941" i="54"/>
  <c r="F941" i="54"/>
  <c r="N939" i="54"/>
  <c r="N938" i="54" s="1"/>
  <c r="I939" i="54"/>
  <c r="F939" i="54"/>
  <c r="N932" i="54"/>
  <c r="N931" i="54" s="1"/>
  <c r="N930" i="54" s="1"/>
  <c r="N929" i="54" s="1"/>
  <c r="N928" i="54" s="1"/>
  <c r="N927" i="54" s="1"/>
  <c r="N926" i="54" s="1"/>
  <c r="I932" i="54"/>
  <c r="I931" i="54" s="1"/>
  <c r="I930" i="54" s="1"/>
  <c r="I929" i="54" s="1"/>
  <c r="I928" i="54" s="1"/>
  <c r="I927" i="54" s="1"/>
  <c r="I926" i="54" s="1"/>
  <c r="F932" i="54"/>
  <c r="F931" i="54" s="1"/>
  <c r="F930" i="54" s="1"/>
  <c r="F929" i="54" s="1"/>
  <c r="F928" i="54" s="1"/>
  <c r="F927" i="54" s="1"/>
  <c r="F926" i="54" s="1"/>
  <c r="N924" i="54"/>
  <c r="N923" i="54" s="1"/>
  <c r="N922" i="54" s="1"/>
  <c r="N921" i="54" s="1"/>
  <c r="N920" i="54" s="1"/>
  <c r="N919" i="54" s="1"/>
  <c r="I924" i="54"/>
  <c r="I923" i="54" s="1"/>
  <c r="I922" i="54" s="1"/>
  <c r="I921" i="54" s="1"/>
  <c r="I920" i="54" s="1"/>
  <c r="I919" i="54" s="1"/>
  <c r="F924" i="54"/>
  <c r="F923" i="54" s="1"/>
  <c r="F922" i="54" s="1"/>
  <c r="F921" i="54" s="1"/>
  <c r="F920" i="54" s="1"/>
  <c r="F919" i="54" s="1"/>
  <c r="N916" i="54"/>
  <c r="N915" i="54" s="1"/>
  <c r="I916" i="54"/>
  <c r="I915" i="54" s="1"/>
  <c r="F916" i="54"/>
  <c r="F915" i="54" s="1"/>
  <c r="N912" i="54"/>
  <c r="N911" i="54" s="1"/>
  <c r="N910" i="54" s="1"/>
  <c r="N909" i="54" s="1"/>
  <c r="N908" i="54" s="1"/>
  <c r="N907" i="54" s="1"/>
  <c r="N906" i="54" s="1"/>
  <c r="I912" i="54"/>
  <c r="N904" i="54"/>
  <c r="I904" i="54"/>
  <c r="F904" i="54"/>
  <c r="N902" i="54"/>
  <c r="I902" i="54"/>
  <c r="F902" i="54"/>
  <c r="N899" i="54"/>
  <c r="I899" i="54"/>
  <c r="F899" i="54"/>
  <c r="N897" i="54"/>
  <c r="I897" i="54"/>
  <c r="F897" i="54"/>
  <c r="N893" i="54"/>
  <c r="I893" i="54"/>
  <c r="F893" i="54"/>
  <c r="N889" i="54"/>
  <c r="I889" i="54"/>
  <c r="F857" i="54"/>
  <c r="F856" i="54" s="1"/>
  <c r="F855" i="54" s="1"/>
  <c r="N856" i="54"/>
  <c r="N855" i="54" s="1"/>
  <c r="I856" i="54"/>
  <c r="I855" i="54" s="1"/>
  <c r="N853" i="54"/>
  <c r="N852" i="54" s="1"/>
  <c r="I853" i="54"/>
  <c r="I852" i="54" s="1"/>
  <c r="F853" i="54"/>
  <c r="F852" i="54" s="1"/>
  <c r="N848" i="54"/>
  <c r="I848" i="54"/>
  <c r="F848" i="54"/>
  <c r="N846" i="54"/>
  <c r="I846" i="54"/>
  <c r="F846" i="54"/>
  <c r="N843" i="54"/>
  <c r="N842" i="54" s="1"/>
  <c r="I843" i="54"/>
  <c r="I842" i="54" s="1"/>
  <c r="F843" i="54"/>
  <c r="F842" i="54" s="1"/>
  <c r="N831" i="54"/>
  <c r="N830" i="54" s="1"/>
  <c r="N829" i="54" s="1"/>
  <c r="N828" i="54" s="1"/>
  <c r="I831" i="54"/>
  <c r="I830" i="54" s="1"/>
  <c r="I829" i="54" s="1"/>
  <c r="I828" i="54" s="1"/>
  <c r="F831" i="54"/>
  <c r="F830" i="54" s="1"/>
  <c r="N826" i="54"/>
  <c r="N825" i="54" s="1"/>
  <c r="I826" i="54"/>
  <c r="I825" i="54" s="1"/>
  <c r="N817" i="54"/>
  <c r="N816" i="54" s="1"/>
  <c r="N815" i="54" s="1"/>
  <c r="F816" i="54"/>
  <c r="F815" i="54" s="1"/>
  <c r="I815" i="54"/>
  <c r="N813" i="54"/>
  <c r="N812" i="54" s="1"/>
  <c r="I813" i="54"/>
  <c r="I812" i="54" s="1"/>
  <c r="F813" i="54"/>
  <c r="F812" i="54" s="1"/>
  <c r="N805" i="54"/>
  <c r="N804" i="54" s="1"/>
  <c r="N803" i="54" s="1"/>
  <c r="N802" i="54" s="1"/>
  <c r="N801" i="54" s="1"/>
  <c r="N800" i="54" s="1"/>
  <c r="N799" i="54" s="1"/>
  <c r="I805" i="54"/>
  <c r="I804" i="54" s="1"/>
  <c r="I803" i="54" s="1"/>
  <c r="I802" i="54" s="1"/>
  <c r="I801" i="54" s="1"/>
  <c r="I800" i="54" s="1"/>
  <c r="I799" i="54" s="1"/>
  <c r="F805" i="54"/>
  <c r="F804" i="54" s="1"/>
  <c r="F803" i="54" s="1"/>
  <c r="F802" i="54" s="1"/>
  <c r="F801" i="54" s="1"/>
  <c r="F800" i="54" s="1"/>
  <c r="F799" i="54" s="1"/>
  <c r="N797" i="54"/>
  <c r="N796" i="54" s="1"/>
  <c r="N795" i="54" s="1"/>
  <c r="I797" i="54"/>
  <c r="I796" i="54" s="1"/>
  <c r="I795" i="54" s="1"/>
  <c r="F797" i="54"/>
  <c r="F796" i="54" s="1"/>
  <c r="F795" i="54" s="1"/>
  <c r="N793" i="54"/>
  <c r="N792" i="54" s="1"/>
  <c r="N791" i="54" s="1"/>
  <c r="I793" i="54"/>
  <c r="I792" i="54" s="1"/>
  <c r="I791" i="54" s="1"/>
  <c r="F793" i="54"/>
  <c r="F792" i="54" s="1"/>
  <c r="F791" i="54" s="1"/>
  <c r="N779" i="54"/>
  <c r="N778" i="54" s="1"/>
  <c r="N777" i="54" s="1"/>
  <c r="I779" i="54"/>
  <c r="I778" i="54" s="1"/>
  <c r="I777" i="54" s="1"/>
  <c r="F779" i="54"/>
  <c r="F778" i="54" s="1"/>
  <c r="F777" i="54" s="1"/>
  <c r="N769" i="54"/>
  <c r="N768" i="54" s="1"/>
  <c r="I769" i="54"/>
  <c r="I768" i="54" s="1"/>
  <c r="F769" i="54"/>
  <c r="F768" i="54" s="1"/>
  <c r="N762" i="54"/>
  <c r="N761" i="54" s="1"/>
  <c r="N760" i="54" s="1"/>
  <c r="N759" i="54" s="1"/>
  <c r="N758" i="54" s="1"/>
  <c r="N757" i="54" s="1"/>
  <c r="I762" i="54"/>
  <c r="I761" i="54" s="1"/>
  <c r="I760" i="54" s="1"/>
  <c r="I759" i="54" s="1"/>
  <c r="I758" i="54" s="1"/>
  <c r="I757" i="54" s="1"/>
  <c r="F762" i="54"/>
  <c r="F761" i="54" s="1"/>
  <c r="F760" i="54" s="1"/>
  <c r="F759" i="54" s="1"/>
  <c r="F758" i="54" s="1"/>
  <c r="F757" i="54" s="1"/>
  <c r="I754" i="54"/>
  <c r="I753" i="54" s="1"/>
  <c r="I750" i="54" s="1"/>
  <c r="F754" i="54"/>
  <c r="F753" i="54" s="1"/>
  <c r="N750" i="54"/>
  <c r="N747" i="54"/>
  <c r="I747" i="54"/>
  <c r="F747" i="54"/>
  <c r="N743" i="54"/>
  <c r="I743" i="54"/>
  <c r="F743" i="54"/>
  <c r="N741" i="54"/>
  <c r="I741" i="54"/>
  <c r="F741" i="54"/>
  <c r="N739" i="54"/>
  <c r="I739" i="54"/>
  <c r="F739" i="54"/>
  <c r="N735" i="54"/>
  <c r="I735" i="54"/>
  <c r="F735" i="54"/>
  <c r="N734" i="54"/>
  <c r="I734" i="54"/>
  <c r="F734" i="54"/>
  <c r="N733" i="54"/>
  <c r="I733" i="54"/>
  <c r="F733" i="54"/>
  <c r="N723" i="54"/>
  <c r="N722" i="54" s="1"/>
  <c r="N721" i="54" s="1"/>
  <c r="I723" i="54"/>
  <c r="I722" i="54" s="1"/>
  <c r="I721" i="54" s="1"/>
  <c r="F723" i="54"/>
  <c r="F722" i="54" s="1"/>
  <c r="F721" i="54" s="1"/>
  <c r="N719" i="54"/>
  <c r="I719" i="54"/>
  <c r="F719" i="54"/>
  <c r="N717" i="54"/>
  <c r="I717" i="54"/>
  <c r="F717" i="54"/>
  <c r="N713" i="54"/>
  <c r="I713" i="54"/>
  <c r="F713" i="54"/>
  <c r="N711" i="54"/>
  <c r="I711" i="54"/>
  <c r="F711" i="54"/>
  <c r="N709" i="54"/>
  <c r="I709" i="54"/>
  <c r="F709" i="54"/>
  <c r="N707" i="54"/>
  <c r="I707" i="54"/>
  <c r="F707" i="54"/>
  <c r="N705" i="54"/>
  <c r="I705" i="54"/>
  <c r="F705" i="54"/>
  <c r="N699" i="54"/>
  <c r="I699" i="54"/>
  <c r="N696" i="54"/>
  <c r="I696" i="54"/>
  <c r="F696" i="54"/>
  <c r="F695" i="54" s="1"/>
  <c r="N687" i="54"/>
  <c r="I687" i="54"/>
  <c r="N683" i="54"/>
  <c r="I683" i="54"/>
  <c r="F683" i="54"/>
  <c r="F682" i="54" s="1"/>
  <c r="N676" i="54"/>
  <c r="I676" i="54"/>
  <c r="F676" i="54"/>
  <c r="N674" i="54"/>
  <c r="I674" i="54"/>
  <c r="F674" i="54"/>
  <c r="F661" i="54"/>
  <c r="F656" i="54"/>
  <c r="F655" i="54" s="1"/>
  <c r="N655" i="54"/>
  <c r="N654" i="54" s="1"/>
  <c r="N653" i="54" s="1"/>
  <c r="N651" i="54" s="1"/>
  <c r="N650" i="54" s="1"/>
  <c r="N649" i="54" s="1"/>
  <c r="N648" i="54" s="1"/>
  <c r="I655" i="54"/>
  <c r="I654" i="54" s="1"/>
  <c r="I653" i="54" s="1"/>
  <c r="I651" i="54" s="1"/>
  <c r="I650" i="54" s="1"/>
  <c r="I649" i="54" s="1"/>
  <c r="N643" i="54"/>
  <c r="N642" i="54" s="1"/>
  <c r="I643" i="54"/>
  <c r="I642" i="54" s="1"/>
  <c r="F643" i="54"/>
  <c r="F642" i="54" s="1"/>
  <c r="I639" i="54"/>
  <c r="F639" i="54"/>
  <c r="N637" i="54"/>
  <c r="I637" i="54"/>
  <c r="F637" i="54"/>
  <c r="N635" i="54"/>
  <c r="I635" i="54"/>
  <c r="F635" i="54"/>
  <c r="N633" i="54"/>
  <c r="I633" i="54"/>
  <c r="F633" i="54"/>
  <c r="N629" i="54"/>
  <c r="N628" i="54" s="1"/>
  <c r="I629" i="54"/>
  <c r="I628" i="54" s="1"/>
  <c r="F629" i="54"/>
  <c r="F628" i="54" s="1"/>
  <c r="N625" i="54"/>
  <c r="N623" i="54"/>
  <c r="I623" i="54"/>
  <c r="F623" i="54"/>
  <c r="N604" i="54"/>
  <c r="N603" i="54" s="1"/>
  <c r="I604" i="54"/>
  <c r="I603" i="54" s="1"/>
  <c r="F604" i="54"/>
  <c r="F603" i="54" s="1"/>
  <c r="N600" i="54"/>
  <c r="I600" i="54"/>
  <c r="F600" i="54"/>
  <c r="N599" i="54"/>
  <c r="N598" i="54" s="1"/>
  <c r="I599" i="54"/>
  <c r="I598" i="54" s="1"/>
  <c r="F599" i="54"/>
  <c r="F598" i="54" s="1"/>
  <c r="N596" i="54"/>
  <c r="I596" i="54"/>
  <c r="F596" i="54"/>
  <c r="N587" i="54"/>
  <c r="N585" i="54" s="1"/>
  <c r="N584" i="54" s="1"/>
  <c r="N583" i="54" s="1"/>
  <c r="N582" i="54" s="1"/>
  <c r="I587" i="54"/>
  <c r="I586" i="54" s="1"/>
  <c r="F587" i="54"/>
  <c r="F585" i="54" s="1"/>
  <c r="F584" i="54" s="1"/>
  <c r="F583" i="54" s="1"/>
  <c r="F582" i="54" s="1"/>
  <c r="N580" i="54"/>
  <c r="N579" i="54" s="1"/>
  <c r="N578" i="54" s="1"/>
  <c r="N577" i="54" s="1"/>
  <c r="N576" i="54" s="1"/>
  <c r="N575" i="54" s="1"/>
  <c r="N574" i="54" s="1"/>
  <c r="I580" i="54"/>
  <c r="I579" i="54" s="1"/>
  <c r="I578" i="54" s="1"/>
  <c r="I577" i="54" s="1"/>
  <c r="I576" i="54" s="1"/>
  <c r="I575" i="54" s="1"/>
  <c r="I574" i="54" s="1"/>
  <c r="F580" i="54"/>
  <c r="F579" i="54" s="1"/>
  <c r="F578" i="54" s="1"/>
  <c r="F577" i="54" s="1"/>
  <c r="F576" i="54" s="1"/>
  <c r="F575" i="54" s="1"/>
  <c r="F574" i="54" s="1"/>
  <c r="N571" i="54"/>
  <c r="N570" i="54" s="1"/>
  <c r="N569" i="54" s="1"/>
  <c r="N568" i="54" s="1"/>
  <c r="N567" i="54" s="1"/>
  <c r="I571" i="54"/>
  <c r="I570" i="54" s="1"/>
  <c r="I569" i="54" s="1"/>
  <c r="I568" i="54" s="1"/>
  <c r="I567" i="54" s="1"/>
  <c r="F571" i="54"/>
  <c r="F570" i="54" s="1"/>
  <c r="F569" i="54" s="1"/>
  <c r="F568" i="54" s="1"/>
  <c r="F567" i="54" s="1"/>
  <c r="N565" i="54"/>
  <c r="N564" i="54" s="1"/>
  <c r="I565" i="54"/>
  <c r="I564" i="54" s="1"/>
  <c r="F565" i="54"/>
  <c r="F564" i="54" s="1"/>
  <c r="F555" i="54" s="1"/>
  <c r="N543" i="54"/>
  <c r="N542" i="54" s="1"/>
  <c r="I543" i="54"/>
  <c r="I542" i="54" s="1"/>
  <c r="F543" i="54"/>
  <c r="F542" i="54" s="1"/>
  <c r="N535" i="54"/>
  <c r="N534" i="54" s="1"/>
  <c r="N533" i="54" s="1"/>
  <c r="N532" i="54" s="1"/>
  <c r="I535" i="54"/>
  <c r="I534" i="54" s="1"/>
  <c r="I533" i="54" s="1"/>
  <c r="I532" i="54" s="1"/>
  <c r="F534" i="54"/>
  <c r="F533" i="54" s="1"/>
  <c r="F532" i="54" s="1"/>
  <c r="N528" i="54"/>
  <c r="N527" i="54" s="1"/>
  <c r="I528" i="54"/>
  <c r="I527" i="54" s="1"/>
  <c r="F528" i="54"/>
  <c r="F527" i="54" s="1"/>
  <c r="N525" i="54"/>
  <c r="N524" i="54" s="1"/>
  <c r="I525" i="54"/>
  <c r="I524" i="54" s="1"/>
  <c r="F525" i="54"/>
  <c r="F524" i="54" s="1"/>
  <c r="N520" i="54"/>
  <c r="N519" i="54" s="1"/>
  <c r="N518" i="54" s="1"/>
  <c r="N517" i="54" s="1"/>
  <c r="N516" i="54" s="1"/>
  <c r="N515" i="54" s="1"/>
  <c r="N514" i="54" s="1"/>
  <c r="I520" i="54"/>
  <c r="I519" i="54" s="1"/>
  <c r="I518" i="54" s="1"/>
  <c r="I517" i="54" s="1"/>
  <c r="I516" i="54" s="1"/>
  <c r="I515" i="54" s="1"/>
  <c r="I514" i="54" s="1"/>
  <c r="F520" i="54"/>
  <c r="N488" i="54"/>
  <c r="N487" i="54" s="1"/>
  <c r="N486" i="54" s="1"/>
  <c r="N485" i="54" s="1"/>
  <c r="N484" i="54" s="1"/>
  <c r="F488" i="54"/>
  <c r="F487" i="54" s="1"/>
  <c r="F486" i="54" s="1"/>
  <c r="N471" i="54"/>
  <c r="N470" i="54" s="1"/>
  <c r="N469" i="54" s="1"/>
  <c r="N468" i="54" s="1"/>
  <c r="I471" i="54"/>
  <c r="I470" i="54" s="1"/>
  <c r="I469" i="54" s="1"/>
  <c r="I468" i="54" s="1"/>
  <c r="F471" i="54"/>
  <c r="F470" i="54" s="1"/>
  <c r="F469" i="54" s="1"/>
  <c r="F468" i="54" s="1"/>
  <c r="N463" i="54"/>
  <c r="N462" i="54" s="1"/>
  <c r="N461" i="54" s="1"/>
  <c r="I463" i="54"/>
  <c r="I462" i="54" s="1"/>
  <c r="I461" i="54" s="1"/>
  <c r="F463" i="54"/>
  <c r="F462" i="54" s="1"/>
  <c r="F461" i="54" s="1"/>
  <c r="N457" i="54"/>
  <c r="N456" i="54" s="1"/>
  <c r="N455" i="54" s="1"/>
  <c r="I457" i="54"/>
  <c r="I456" i="54" s="1"/>
  <c r="I455" i="54" s="1"/>
  <c r="F457" i="54"/>
  <c r="N447" i="54"/>
  <c r="I447" i="54"/>
  <c r="F447" i="54"/>
  <c r="N439" i="54"/>
  <c r="I439" i="54"/>
  <c r="F439" i="54"/>
  <c r="F436" i="54"/>
  <c r="N432" i="54"/>
  <c r="I432" i="54"/>
  <c r="F432" i="54"/>
  <c r="F430" i="54"/>
  <c r="F428" i="54"/>
  <c r="N419" i="54"/>
  <c r="N418" i="54" s="1"/>
  <c r="F419" i="54"/>
  <c r="F418" i="54" s="1"/>
  <c r="I418" i="54"/>
  <c r="F412" i="54"/>
  <c r="N413" i="54"/>
  <c r="N412" i="54" s="1"/>
  <c r="I413" i="54"/>
  <c r="I412" i="54" s="1"/>
  <c r="N407" i="54"/>
  <c r="I407" i="54"/>
  <c r="F407" i="54"/>
  <c r="N406" i="54"/>
  <c r="I406" i="54"/>
  <c r="F406" i="54"/>
  <c r="N395" i="54"/>
  <c r="N394" i="54" s="1"/>
  <c r="I395" i="54"/>
  <c r="I394" i="54" s="1"/>
  <c r="F395" i="54"/>
  <c r="F394" i="54" s="1"/>
  <c r="N367" i="54"/>
  <c r="I367" i="54"/>
  <c r="N359" i="54"/>
  <c r="I359" i="54"/>
  <c r="N355" i="54"/>
  <c r="I355" i="54"/>
  <c r="F355" i="54"/>
  <c r="H355" i="54" s="1"/>
  <c r="H346" i="54" s="1"/>
  <c r="H345" i="54" s="1"/>
  <c r="H330" i="54" s="1"/>
  <c r="H329" i="54" s="1"/>
  <c r="H328" i="54" s="1"/>
  <c r="N352" i="54"/>
  <c r="N351" i="54" s="1"/>
  <c r="I352" i="54"/>
  <c r="I351" i="54" s="1"/>
  <c r="F351" i="54"/>
  <c r="N349" i="54"/>
  <c r="I349" i="54"/>
  <c r="F349" i="54"/>
  <c r="N343" i="54"/>
  <c r="N342" i="54" s="1"/>
  <c r="N341" i="54" s="1"/>
  <c r="I343" i="54"/>
  <c r="I342" i="54" s="1"/>
  <c r="I341" i="54" s="1"/>
  <c r="F343" i="54"/>
  <c r="F342" i="54" s="1"/>
  <c r="F341" i="54" s="1"/>
  <c r="I339" i="54"/>
  <c r="I338" i="54" s="1"/>
  <c r="I336" i="54"/>
  <c r="I335" i="54" s="1"/>
  <c r="N331" i="54"/>
  <c r="F322" i="54"/>
  <c r="F316" i="54"/>
  <c r="F314" i="54"/>
  <c r="N312" i="54"/>
  <c r="I312" i="54"/>
  <c r="F312" i="54"/>
  <c r="N310" i="54"/>
  <c r="I310" i="54"/>
  <c r="F310" i="54"/>
  <c r="N306" i="54"/>
  <c r="N305" i="54" s="1"/>
  <c r="N304" i="54" s="1"/>
  <c r="I306" i="54"/>
  <c r="I305" i="54" s="1"/>
  <c r="I304" i="54" s="1"/>
  <c r="F304" i="54"/>
  <c r="N297" i="54"/>
  <c r="N296" i="54" s="1"/>
  <c r="I297" i="54"/>
  <c r="I296" i="54" s="1"/>
  <c r="F297" i="54"/>
  <c r="F296" i="54" s="1"/>
  <c r="N294" i="54"/>
  <c r="N293" i="54" s="1"/>
  <c r="I294" i="54"/>
  <c r="I293" i="54" s="1"/>
  <c r="F294" i="54"/>
  <c r="F293" i="54" s="1"/>
  <c r="N288" i="54"/>
  <c r="N287" i="54" s="1"/>
  <c r="I288" i="54"/>
  <c r="I287" i="54" s="1"/>
  <c r="F288" i="54"/>
  <c r="F287" i="54" s="1"/>
  <c r="N280" i="54"/>
  <c r="I280" i="54"/>
  <c r="F280" i="54"/>
  <c r="N269" i="54"/>
  <c r="N268" i="54" s="1"/>
  <c r="N267" i="54" s="1"/>
  <c r="I269" i="54"/>
  <c r="I268" i="54" s="1"/>
  <c r="I267" i="54" s="1"/>
  <c r="F269" i="54"/>
  <c r="N263" i="54"/>
  <c r="N262" i="54" s="1"/>
  <c r="N261" i="54" s="1"/>
  <c r="I263" i="54"/>
  <c r="I262" i="54" s="1"/>
  <c r="I261" i="54" s="1"/>
  <c r="F263" i="54"/>
  <c r="F262" i="54" s="1"/>
  <c r="F261" i="54" s="1"/>
  <c r="N259" i="54"/>
  <c r="N258" i="54" s="1"/>
  <c r="I259" i="54"/>
  <c r="I258" i="54" s="1"/>
  <c r="F259" i="54"/>
  <c r="F258" i="54" s="1"/>
  <c r="N250" i="54"/>
  <c r="I250" i="54"/>
  <c r="F250" i="54"/>
  <c r="N247" i="54"/>
  <c r="N246" i="54" s="1"/>
  <c r="I247" i="54"/>
  <c r="I246" i="54" s="1"/>
  <c r="F247" i="54"/>
  <c r="F246" i="54" s="1"/>
  <c r="I242" i="54"/>
  <c r="I241" i="54" s="1"/>
  <c r="I240" i="54" s="1"/>
  <c r="F242" i="54"/>
  <c r="F241" i="54" s="1"/>
  <c r="F240" i="54" s="1"/>
  <c r="N238" i="54"/>
  <c r="N237" i="54" s="1"/>
  <c r="I238" i="54"/>
  <c r="I237" i="54" s="1"/>
  <c r="F238" i="54"/>
  <c r="F237" i="54" s="1"/>
  <c r="N231" i="54"/>
  <c r="N230" i="54" s="1"/>
  <c r="N229" i="54" s="1"/>
  <c r="N228" i="54" s="1"/>
  <c r="N227" i="54" s="1"/>
  <c r="I231" i="54"/>
  <c r="I230" i="54" s="1"/>
  <c r="I229" i="54" s="1"/>
  <c r="I228" i="54" s="1"/>
  <c r="I227" i="54" s="1"/>
  <c r="F231" i="54"/>
  <c r="F230" i="54" s="1"/>
  <c r="F229" i="54" s="1"/>
  <c r="F228" i="54" s="1"/>
  <c r="F227" i="54" s="1"/>
  <c r="N224" i="54"/>
  <c r="N223" i="54" s="1"/>
  <c r="N222" i="54" s="1"/>
  <c r="I224" i="54"/>
  <c r="I223" i="54" s="1"/>
  <c r="I222" i="54" s="1"/>
  <c r="F224" i="54"/>
  <c r="F223" i="54" s="1"/>
  <c r="F222" i="54" s="1"/>
  <c r="I218" i="54"/>
  <c r="I217" i="54" s="1"/>
  <c r="F219" i="54"/>
  <c r="F218" i="54" s="1"/>
  <c r="N216" i="54"/>
  <c r="N214" i="54"/>
  <c r="I214" i="54"/>
  <c r="F214" i="54"/>
  <c r="N212" i="54"/>
  <c r="I212" i="54"/>
  <c r="F212" i="54"/>
  <c r="N210" i="54"/>
  <c r="I210" i="54"/>
  <c r="F210" i="54"/>
  <c r="N207" i="54"/>
  <c r="N206" i="54" s="1"/>
  <c r="I207" i="54"/>
  <c r="I206" i="54" s="1"/>
  <c r="F207" i="54"/>
  <c r="F206" i="54" s="1"/>
  <c r="N200" i="54"/>
  <c r="N199" i="54" s="1"/>
  <c r="N198" i="54" s="1"/>
  <c r="I200" i="54"/>
  <c r="I199" i="54" s="1"/>
  <c r="I198" i="54" s="1"/>
  <c r="F200" i="54"/>
  <c r="F199" i="54" s="1"/>
  <c r="F198" i="54" s="1"/>
  <c r="N196" i="54"/>
  <c r="I196" i="54"/>
  <c r="F196" i="54"/>
  <c r="N194" i="54"/>
  <c r="I194" i="54"/>
  <c r="F194" i="54"/>
  <c r="N192" i="54"/>
  <c r="I192" i="54"/>
  <c r="F192" i="54"/>
  <c r="N187" i="54"/>
  <c r="N186" i="54" s="1"/>
  <c r="I187" i="54"/>
  <c r="I186" i="54" s="1"/>
  <c r="F187" i="54"/>
  <c r="F186" i="54" s="1"/>
  <c r="F180" i="54"/>
  <c r="N178" i="54"/>
  <c r="N177" i="54" s="1"/>
  <c r="N176" i="54" s="1"/>
  <c r="I178" i="54"/>
  <c r="I177" i="54" s="1"/>
  <c r="I176" i="54" s="1"/>
  <c r="F178" i="54"/>
  <c r="N170" i="54"/>
  <c r="I170" i="54"/>
  <c r="F170" i="54"/>
  <c r="N168" i="54"/>
  <c r="I168" i="54"/>
  <c r="F168" i="54"/>
  <c r="N166" i="54"/>
  <c r="I166" i="54"/>
  <c r="F166" i="54"/>
  <c r="N163" i="54"/>
  <c r="I163" i="54"/>
  <c r="N161" i="54"/>
  <c r="I161" i="54"/>
  <c r="F161" i="54"/>
  <c r="N153" i="54"/>
  <c r="I153" i="54"/>
  <c r="F153" i="54"/>
  <c r="N151" i="54"/>
  <c r="I151" i="54"/>
  <c r="F151" i="54"/>
  <c r="N149" i="54"/>
  <c r="I149" i="54"/>
  <c r="F149" i="54"/>
  <c r="N141" i="54"/>
  <c r="N140" i="54" s="1"/>
  <c r="N139" i="54" s="1"/>
  <c r="N138" i="54" s="1"/>
  <c r="N137" i="54" s="1"/>
  <c r="N136" i="54" s="1"/>
  <c r="I141" i="54"/>
  <c r="I140" i="54" s="1"/>
  <c r="I139" i="54" s="1"/>
  <c r="I138" i="54" s="1"/>
  <c r="I137" i="54" s="1"/>
  <c r="I136" i="54" s="1"/>
  <c r="F127" i="54"/>
  <c r="N125" i="54"/>
  <c r="I125" i="54"/>
  <c r="N123" i="54"/>
  <c r="I123" i="54"/>
  <c r="F123" i="54"/>
  <c r="N119" i="54"/>
  <c r="I119" i="54"/>
  <c r="F119" i="54"/>
  <c r="N115" i="54"/>
  <c r="I115" i="54"/>
  <c r="F115" i="54"/>
  <c r="N113" i="54"/>
  <c r="I113" i="54"/>
  <c r="F113" i="54"/>
  <c r="N106" i="54"/>
  <c r="I106" i="54"/>
  <c r="F106" i="54"/>
  <c r="N102" i="54"/>
  <c r="N101" i="54" s="1"/>
  <c r="N100" i="54" s="1"/>
  <c r="N99" i="54" s="1"/>
  <c r="I102" i="54"/>
  <c r="I101" i="54" s="1"/>
  <c r="I100" i="54" s="1"/>
  <c r="I99" i="54" s="1"/>
  <c r="F102" i="54"/>
  <c r="F101" i="54" s="1"/>
  <c r="F100" i="54" s="1"/>
  <c r="F99" i="54" s="1"/>
  <c r="N91" i="54"/>
  <c r="I91" i="54"/>
  <c r="F91" i="54"/>
  <c r="N89" i="54"/>
  <c r="I89" i="54"/>
  <c r="F89" i="54"/>
  <c r="N87" i="54"/>
  <c r="I87" i="54"/>
  <c r="F87" i="54"/>
  <c r="N82" i="54"/>
  <c r="N81" i="54" s="1"/>
  <c r="I82" i="54"/>
  <c r="I81" i="54" s="1"/>
  <c r="F82" i="54"/>
  <c r="F81" i="54" s="1"/>
  <c r="N78" i="54"/>
  <c r="I78" i="54"/>
  <c r="F78" i="54"/>
  <c r="E78" i="54"/>
  <c r="C78" i="54"/>
  <c r="N76" i="54"/>
  <c r="N75" i="54" s="1"/>
  <c r="I76" i="54"/>
  <c r="I75" i="54" s="1"/>
  <c r="F76" i="54"/>
  <c r="E76" i="54"/>
  <c r="C76" i="54"/>
  <c r="F73" i="54"/>
  <c r="F72" i="54" s="1"/>
  <c r="E73" i="54"/>
  <c r="C73" i="54"/>
  <c r="N72" i="54"/>
  <c r="I72" i="54"/>
  <c r="N71" i="54"/>
  <c r="N70" i="54" s="1"/>
  <c r="N69" i="54" s="1"/>
  <c r="I71" i="54"/>
  <c r="I70" i="54" s="1"/>
  <c r="I69" i="54" s="1"/>
  <c r="F70" i="54"/>
  <c r="F69" i="54" s="1"/>
  <c r="E70" i="54"/>
  <c r="C70" i="54"/>
  <c r="N63" i="54"/>
  <c r="N62" i="54" s="1"/>
  <c r="N61" i="54" s="1"/>
  <c r="N60" i="54" s="1"/>
  <c r="N59" i="54" s="1"/>
  <c r="I63" i="54"/>
  <c r="I62" i="54" s="1"/>
  <c r="I61" i="54" s="1"/>
  <c r="I60" i="54" s="1"/>
  <c r="I59" i="54" s="1"/>
  <c r="F63" i="54"/>
  <c r="F62" i="54" s="1"/>
  <c r="F61" i="54" s="1"/>
  <c r="F60" i="54" s="1"/>
  <c r="F59" i="54" s="1"/>
  <c r="N57" i="54"/>
  <c r="N56" i="54" s="1"/>
  <c r="N55" i="54" s="1"/>
  <c r="I57" i="54"/>
  <c r="I56" i="54" s="1"/>
  <c r="I55" i="54" s="1"/>
  <c r="F57" i="54"/>
  <c r="F56" i="54" s="1"/>
  <c r="F55" i="54" s="1"/>
  <c r="F51" i="54"/>
  <c r="F50" i="54" s="1"/>
  <c r="I45" i="54"/>
  <c r="F45" i="54"/>
  <c r="H45" i="54" s="1"/>
  <c r="F42" i="54"/>
  <c r="N41" i="54"/>
  <c r="N40" i="54" s="1"/>
  <c r="I41" i="54"/>
  <c r="I40" i="54" s="1"/>
  <c r="F41" i="54"/>
  <c r="F40" i="54" s="1"/>
  <c r="F34" i="54"/>
  <c r="N29" i="54"/>
  <c r="I29" i="54"/>
  <c r="N25" i="54"/>
  <c r="I25" i="54"/>
  <c r="N13" i="54"/>
  <c r="N12" i="54" s="1"/>
  <c r="I13" i="54"/>
  <c r="I12" i="54" s="1"/>
  <c r="F13" i="54"/>
  <c r="F12" i="54" s="1"/>
  <c r="L466" i="32"/>
  <c r="L465" i="32" s="1"/>
  <c r="G466" i="32"/>
  <c r="F519" i="54" l="1"/>
  <c r="F518" i="54" s="1"/>
  <c r="F517" i="54" s="1"/>
  <c r="F516" i="54" s="1"/>
  <c r="F515" i="54" s="1"/>
  <c r="F514" i="54" s="1"/>
  <c r="H520" i="54"/>
  <c r="H519" i="54" s="1"/>
  <c r="H518" i="54" s="1"/>
  <c r="H517" i="54" s="1"/>
  <c r="H516" i="54" s="1"/>
  <c r="H515" i="54" s="1"/>
  <c r="H514" i="54" s="1"/>
  <c r="H513" i="54" s="1"/>
  <c r="F217" i="54"/>
  <c r="F216" i="54" s="1"/>
  <c r="F654" i="54"/>
  <c r="F653" i="54" s="1"/>
  <c r="F651" i="54" s="1"/>
  <c r="F650" i="54" s="1"/>
  <c r="F649" i="54" s="1"/>
  <c r="H33" i="54"/>
  <c r="H32" i="54" s="1"/>
  <c r="H22" i="54" s="1"/>
  <c r="H21" i="54" s="1"/>
  <c r="H20" i="54" s="1"/>
  <c r="H7" i="54" s="1"/>
  <c r="F245" i="54"/>
  <c r="F236" i="54" s="1"/>
  <c r="F235" i="54" s="1"/>
  <c r="F234" i="54" s="1"/>
  <c r="F233" i="54" s="1"/>
  <c r="F105" i="54"/>
  <c r="F104" i="54" s="1"/>
  <c r="F438" i="54"/>
  <c r="F177" i="54"/>
  <c r="F176" i="54" s="1"/>
  <c r="I625" i="54"/>
  <c r="I622" i="54" s="1"/>
  <c r="K627" i="54"/>
  <c r="K625" i="54" s="1"/>
  <c r="K622" i="54" s="1"/>
  <c r="K621" i="54" s="1"/>
  <c r="K620" i="54" s="1"/>
  <c r="K619" i="54" s="1"/>
  <c r="K618" i="54" s="1"/>
  <c r="K590" i="54" s="1"/>
  <c r="K573" i="54" s="1"/>
  <c r="K966" i="54" s="1"/>
  <c r="I682" i="54"/>
  <c r="I681" i="54" s="1"/>
  <c r="I680" i="54" s="1"/>
  <c r="N682" i="54"/>
  <c r="N681" i="54" s="1"/>
  <c r="N680" i="54" s="1"/>
  <c r="F829" i="54"/>
  <c r="F828" i="54" s="1"/>
  <c r="I824" i="54"/>
  <c r="I823" i="54" s="1"/>
  <c r="I822" i="54" s="1"/>
  <c r="I821" i="54" s="1"/>
  <c r="N824" i="54"/>
  <c r="N823" i="54" s="1"/>
  <c r="N822" i="54" s="1"/>
  <c r="N821" i="54" s="1"/>
  <c r="F811" i="54"/>
  <c r="F810" i="54" s="1"/>
  <c r="F809" i="54" s="1"/>
  <c r="F808" i="54" s="1"/>
  <c r="F824" i="54"/>
  <c r="F823" i="54" s="1"/>
  <c r="F279" i="54"/>
  <c r="F278" i="54" s="1"/>
  <c r="F845" i="54"/>
  <c r="F841" i="54" s="1"/>
  <c r="I309" i="54"/>
  <c r="I308" i="54" s="1"/>
  <c r="I303" i="54" s="1"/>
  <c r="I302" i="54" s="1"/>
  <c r="I555" i="54"/>
  <c r="I554" i="54" s="1"/>
  <c r="I553" i="54" s="1"/>
  <c r="I523" i="54"/>
  <c r="N523" i="54"/>
  <c r="F346" i="54"/>
  <c r="F417" i="54"/>
  <c r="F523" i="54"/>
  <c r="F309" i="54"/>
  <c r="F308" i="54" s="1"/>
  <c r="F303" i="54" s="1"/>
  <c r="F302" i="54" s="1"/>
  <c r="F268" i="54"/>
  <c r="F267" i="54" s="1"/>
  <c r="F485" i="54"/>
  <c r="F484" i="54" s="1"/>
  <c r="F554" i="54"/>
  <c r="F553" i="54" s="1"/>
  <c r="I403" i="54"/>
  <c r="I402" i="54" s="1"/>
  <c r="I404" i="54"/>
  <c r="F403" i="54"/>
  <c r="F402" i="54" s="1"/>
  <c r="F404" i="54"/>
  <c r="N403" i="54"/>
  <c r="N402" i="54" s="1"/>
  <c r="N404" i="54"/>
  <c r="N555" i="54"/>
  <c r="N554" i="54" s="1"/>
  <c r="N553" i="54" s="1"/>
  <c r="F456" i="54"/>
  <c r="H457" i="54"/>
  <c r="H456" i="54" s="1"/>
  <c r="I539" i="54"/>
  <c r="I538" i="54" s="1"/>
  <c r="I537" i="54" s="1"/>
  <c r="I540" i="54"/>
  <c r="F539" i="54"/>
  <c r="F538" i="54" s="1"/>
  <c r="F537" i="54" s="1"/>
  <c r="F540" i="54"/>
  <c r="N539" i="54"/>
  <c r="N538" i="54" s="1"/>
  <c r="N537" i="54" s="1"/>
  <c r="N540" i="54"/>
  <c r="I333" i="54"/>
  <c r="I489" i="54"/>
  <c r="I488" i="54" s="1"/>
  <c r="I487" i="54" s="1"/>
  <c r="I486" i="54" s="1"/>
  <c r="I485" i="54" s="1"/>
  <c r="I484" i="54" s="1"/>
  <c r="I105" i="54"/>
  <c r="I104" i="54" s="1"/>
  <c r="N105" i="54"/>
  <c r="N104" i="54" s="1"/>
  <c r="I845" i="54"/>
  <c r="I841" i="54" s="1"/>
  <c r="I840" i="54" s="1"/>
  <c r="I839" i="54" s="1"/>
  <c r="I838" i="54" s="1"/>
  <c r="F901" i="54"/>
  <c r="F141" i="54"/>
  <c r="F140" i="54" s="1"/>
  <c r="F139" i="54" s="1"/>
  <c r="F138" i="54" s="1"/>
  <c r="F137" i="54" s="1"/>
  <c r="F136" i="54" s="1"/>
  <c r="N80" i="54"/>
  <c r="I80" i="54"/>
  <c r="L592" i="32"/>
  <c r="F86" i="54"/>
  <c r="F85" i="54" s="1"/>
  <c r="I704" i="54"/>
  <c r="I703" i="54" s="1"/>
  <c r="N148" i="54"/>
  <c r="N147" i="54" s="1"/>
  <c r="N146" i="54" s="1"/>
  <c r="N145" i="54" s="1"/>
  <c r="N695" i="54"/>
  <c r="N694" i="54" s="1"/>
  <c r="N693" i="54" s="1"/>
  <c r="I716" i="54"/>
  <c r="I715" i="54" s="1"/>
  <c r="I790" i="54"/>
  <c r="I789" i="54" s="1"/>
  <c r="I788" i="54" s="1"/>
  <c r="I787" i="54" s="1"/>
  <c r="I24" i="54"/>
  <c r="I23" i="54" s="1"/>
  <c r="N393" i="54"/>
  <c r="I585" i="54"/>
  <c r="I584" i="54" s="1"/>
  <c r="I583" i="54" s="1"/>
  <c r="I582" i="54" s="1"/>
  <c r="F694" i="54"/>
  <c r="F693" i="54" s="1"/>
  <c r="I695" i="54"/>
  <c r="I694" i="54" s="1"/>
  <c r="I693" i="54" s="1"/>
  <c r="N746" i="54"/>
  <c r="N745" i="54" s="1"/>
  <c r="F938" i="54"/>
  <c r="F937" i="54" s="1"/>
  <c r="F936" i="54" s="1"/>
  <c r="F935" i="54" s="1"/>
  <c r="F934" i="54" s="1"/>
  <c r="N738" i="54"/>
  <c r="N737" i="54" s="1"/>
  <c r="N209" i="54"/>
  <c r="N309" i="54"/>
  <c r="N308" i="54" s="1"/>
  <c r="N303" i="54" s="1"/>
  <c r="N302" i="54" s="1"/>
  <c r="I332" i="54"/>
  <c r="I331" i="54" s="1"/>
  <c r="I888" i="54"/>
  <c r="I887" i="54" s="1"/>
  <c r="I886" i="54" s="1"/>
  <c r="F75" i="54"/>
  <c r="F68" i="54" s="1"/>
  <c r="F393" i="54"/>
  <c r="I245" i="54"/>
  <c r="I236" i="54" s="1"/>
  <c r="I235" i="54" s="1"/>
  <c r="I234" i="54" s="1"/>
  <c r="I233" i="54" s="1"/>
  <c r="I346" i="54"/>
  <c r="I345" i="54" s="1"/>
  <c r="N417" i="54"/>
  <c r="F896" i="54"/>
  <c r="N160" i="54"/>
  <c r="N159" i="54" s="1"/>
  <c r="N158" i="54" s="1"/>
  <c r="N157" i="54" s="1"/>
  <c r="I393" i="54"/>
  <c r="F673" i="54"/>
  <c r="F672" i="54" s="1"/>
  <c r="F671" i="54" s="1"/>
  <c r="F670" i="54" s="1"/>
  <c r="F669" i="54" s="1"/>
  <c r="I901" i="54"/>
  <c r="F148" i="54"/>
  <c r="F147" i="54" s="1"/>
  <c r="F146" i="54" s="1"/>
  <c r="F145" i="54" s="1"/>
  <c r="F911" i="54"/>
  <c r="F910" i="54" s="1"/>
  <c r="F909" i="54" s="1"/>
  <c r="F908" i="54" s="1"/>
  <c r="F907" i="54" s="1"/>
  <c r="F906" i="54" s="1"/>
  <c r="F23" i="54"/>
  <c r="I148" i="54"/>
  <c r="I147" i="54" s="1"/>
  <c r="I146" i="54" s="1"/>
  <c r="I145" i="54" s="1"/>
  <c r="I160" i="54"/>
  <c r="I159" i="54" s="1"/>
  <c r="I158" i="54" s="1"/>
  <c r="I157" i="54" s="1"/>
  <c r="N185" i="54"/>
  <c r="N184" i="54" s="1"/>
  <c r="N175" i="54" s="1"/>
  <c r="F209" i="54"/>
  <c r="N346" i="54"/>
  <c r="N345" i="54" s="1"/>
  <c r="N330" i="54" s="1"/>
  <c r="N329" i="54" s="1"/>
  <c r="N438" i="54"/>
  <c r="F738" i="54"/>
  <c r="F737" i="54" s="1"/>
  <c r="F888" i="54"/>
  <c r="F887" i="54" s="1"/>
  <c r="F886" i="54" s="1"/>
  <c r="I896" i="54"/>
  <c r="N901" i="54"/>
  <c r="I938" i="54"/>
  <c r="I937" i="54" s="1"/>
  <c r="I936" i="54" s="1"/>
  <c r="I935" i="54" s="1"/>
  <c r="I934" i="54" s="1"/>
  <c r="I68" i="54"/>
  <c r="I185" i="54"/>
  <c r="I184" i="54" s="1"/>
  <c r="I175" i="54" s="1"/>
  <c r="N24" i="54"/>
  <c r="N23" i="54" s="1"/>
  <c r="I209" i="54"/>
  <c r="I205" i="54" s="1"/>
  <c r="N716" i="54"/>
  <c r="N715" i="54" s="1"/>
  <c r="I738" i="54"/>
  <c r="I737" i="54" s="1"/>
  <c r="N595" i="54"/>
  <c r="N594" i="54" s="1"/>
  <c r="N896" i="54"/>
  <c r="N955" i="54"/>
  <c r="N954" i="54" s="1"/>
  <c r="N953" i="54" s="1"/>
  <c r="N952" i="54" s="1"/>
  <c r="N951" i="54" s="1"/>
  <c r="N950" i="54" s="1"/>
  <c r="N949" i="54" s="1"/>
  <c r="I648" i="54"/>
  <c r="F790" i="54"/>
  <c r="F789" i="54" s="1"/>
  <c r="F788" i="54" s="1"/>
  <c r="F787" i="54" s="1"/>
  <c r="N279" i="54"/>
  <c r="N278" i="54" s="1"/>
  <c r="I279" i="54"/>
  <c r="I278" i="54" s="1"/>
  <c r="N767" i="54"/>
  <c r="N766" i="54" s="1"/>
  <c r="N765" i="54" s="1"/>
  <c r="N764" i="54" s="1"/>
  <c r="F80" i="54"/>
  <c r="F185" i="54"/>
  <c r="F184" i="54" s="1"/>
  <c r="N586" i="54"/>
  <c r="F716" i="54"/>
  <c r="F715" i="54" s="1"/>
  <c r="N888" i="54"/>
  <c r="N887" i="54" s="1"/>
  <c r="N886" i="54" s="1"/>
  <c r="N790" i="54"/>
  <c r="N789" i="54" s="1"/>
  <c r="N788" i="54" s="1"/>
  <c r="N787" i="54" s="1"/>
  <c r="I911" i="54"/>
  <c r="I910" i="54" s="1"/>
  <c r="I909" i="54" s="1"/>
  <c r="I908" i="54" s="1"/>
  <c r="I907" i="54" s="1"/>
  <c r="I906" i="54" s="1"/>
  <c r="F160" i="54"/>
  <c r="F159" i="54" s="1"/>
  <c r="F158" i="54" s="1"/>
  <c r="F157" i="54" s="1"/>
  <c r="N245" i="54"/>
  <c r="N236" i="54" s="1"/>
  <c r="N235" i="54" s="1"/>
  <c r="N234" i="54" s="1"/>
  <c r="N233" i="54" s="1"/>
  <c r="F681" i="54"/>
  <c r="F680" i="54" s="1"/>
  <c r="F704" i="54"/>
  <c r="F703" i="54" s="1"/>
  <c r="I811" i="54"/>
  <c r="I810" i="54" s="1"/>
  <c r="I809" i="54" s="1"/>
  <c r="I808" i="54" s="1"/>
  <c r="N811" i="54"/>
  <c r="N810" i="54" s="1"/>
  <c r="N809" i="54" s="1"/>
  <c r="N808" i="54" s="1"/>
  <c r="I417" i="54"/>
  <c r="I438" i="54"/>
  <c r="I673" i="54"/>
  <c r="I672" i="54" s="1"/>
  <c r="I671" i="54" s="1"/>
  <c r="I670" i="54" s="1"/>
  <c r="I669" i="54" s="1"/>
  <c r="N673" i="54"/>
  <c r="N672" i="54" s="1"/>
  <c r="N671" i="54" s="1"/>
  <c r="N670" i="54" s="1"/>
  <c r="N669" i="54" s="1"/>
  <c r="I767" i="54"/>
  <c r="I766" i="54" s="1"/>
  <c r="I765" i="54" s="1"/>
  <c r="I764" i="54" s="1"/>
  <c r="N845" i="54"/>
  <c r="F955" i="54"/>
  <c r="F954" i="54" s="1"/>
  <c r="F953" i="54" s="1"/>
  <c r="F952" i="54" s="1"/>
  <c r="F951" i="54" s="1"/>
  <c r="F950" i="54" s="1"/>
  <c r="F949" i="54" s="1"/>
  <c r="I33" i="54"/>
  <c r="I32" i="54" s="1"/>
  <c r="F622" i="54"/>
  <c r="F632" i="54"/>
  <c r="I632" i="54"/>
  <c r="F767" i="54"/>
  <c r="F766" i="54" s="1"/>
  <c r="F765" i="54" s="1"/>
  <c r="F764" i="54" s="1"/>
  <c r="I216" i="54"/>
  <c r="I451" i="54"/>
  <c r="I595" i="54"/>
  <c r="I594" i="54" s="1"/>
  <c r="F595" i="54"/>
  <c r="F594" i="54" s="1"/>
  <c r="F746" i="54"/>
  <c r="F745" i="54" s="1"/>
  <c r="N33" i="54"/>
  <c r="N32" i="54" s="1"/>
  <c r="N704" i="54"/>
  <c r="N703" i="54" s="1"/>
  <c r="I955" i="54"/>
  <c r="I954" i="54" s="1"/>
  <c r="I953" i="54" s="1"/>
  <c r="I952" i="54" s="1"/>
  <c r="I951" i="54" s="1"/>
  <c r="I950" i="54" s="1"/>
  <c r="I949" i="54" s="1"/>
  <c r="N68" i="54"/>
  <c r="I11" i="54"/>
  <c r="I10" i="54"/>
  <c r="I9" i="54" s="1"/>
  <c r="I8" i="54" s="1"/>
  <c r="F11" i="54"/>
  <c r="F10" i="54"/>
  <c r="F9" i="54" s="1"/>
  <c r="F8" i="54" s="1"/>
  <c r="N10" i="54"/>
  <c r="N9" i="54" s="1"/>
  <c r="N8" i="54" s="1"/>
  <c r="N11" i="54"/>
  <c r="F37" i="54"/>
  <c r="F33" i="54" s="1"/>
  <c r="F32" i="54" s="1"/>
  <c r="N467" i="54"/>
  <c r="N466" i="54"/>
  <c r="N451" i="54"/>
  <c r="I746" i="54"/>
  <c r="I745" i="54" s="1"/>
  <c r="F467" i="54"/>
  <c r="F466" i="54"/>
  <c r="N632" i="54"/>
  <c r="I467" i="54"/>
  <c r="I466" i="54"/>
  <c r="N622" i="54"/>
  <c r="F586" i="54"/>
  <c r="L483" i="32"/>
  <c r="G483" i="32"/>
  <c r="F345" i="54" l="1"/>
  <c r="F330" i="54" s="1"/>
  <c r="F329" i="54" s="1"/>
  <c r="F328" i="54" s="1"/>
  <c r="F822" i="54"/>
  <c r="F821" i="54" s="1"/>
  <c r="F455" i="54"/>
  <c r="F451" i="54" s="1"/>
  <c r="H455" i="54"/>
  <c r="H451" i="54" s="1"/>
  <c r="H401" i="54" s="1"/>
  <c r="H400" i="54" s="1"/>
  <c r="H399" i="54" s="1"/>
  <c r="H301" i="54" s="1"/>
  <c r="F266" i="54"/>
  <c r="F265" i="54" s="1"/>
  <c r="I522" i="54"/>
  <c r="I521" i="54" s="1"/>
  <c r="I513" i="54" s="1"/>
  <c r="N522" i="54"/>
  <c r="N521" i="54" s="1"/>
  <c r="N513" i="54" s="1"/>
  <c r="F522" i="54"/>
  <c r="F521" i="54" s="1"/>
  <c r="F513" i="54" s="1"/>
  <c r="F205" i="54"/>
  <c r="F204" i="54" s="1"/>
  <c r="F203" i="54" s="1"/>
  <c r="N205" i="54"/>
  <c r="N204" i="54" s="1"/>
  <c r="N203" i="54" s="1"/>
  <c r="N328" i="54"/>
  <c r="N679" i="54"/>
  <c r="N678" i="54" s="1"/>
  <c r="I679" i="54"/>
  <c r="I678" i="54" s="1"/>
  <c r="F679" i="54"/>
  <c r="F678" i="54" s="1"/>
  <c r="I67" i="54"/>
  <c r="I66" i="54" s="1"/>
  <c r="I65" i="54" s="1"/>
  <c r="F411" i="54"/>
  <c r="N67" i="54"/>
  <c r="N66" i="54" s="1"/>
  <c r="N65" i="54" s="1"/>
  <c r="F702" i="54"/>
  <c r="F692" i="54" s="1"/>
  <c r="F691" i="54" s="1"/>
  <c r="I22" i="54"/>
  <c r="I21" i="54" s="1"/>
  <c r="I20" i="54" s="1"/>
  <c r="N702" i="54"/>
  <c r="N692" i="54" s="1"/>
  <c r="N691" i="54" s="1"/>
  <c r="F175" i="54"/>
  <c r="F174" i="54" s="1"/>
  <c r="F173" i="54" s="1"/>
  <c r="F144" i="54" s="1"/>
  <c r="F22" i="54"/>
  <c r="F21" i="54" s="1"/>
  <c r="F20" i="54" s="1"/>
  <c r="N411" i="54"/>
  <c r="N401" i="54" s="1"/>
  <c r="N400" i="54" s="1"/>
  <c r="N399" i="54" s="1"/>
  <c r="I702" i="54"/>
  <c r="I692" i="54" s="1"/>
  <c r="I691" i="54" s="1"/>
  <c r="F895" i="54"/>
  <c r="F885" i="54" s="1"/>
  <c r="F884" i="54" s="1"/>
  <c r="I895" i="54"/>
  <c r="I885" i="54" s="1"/>
  <c r="I884" i="54" s="1"/>
  <c r="I837" i="54" s="1"/>
  <c r="N22" i="54"/>
  <c r="N21" i="54" s="1"/>
  <c r="N20" i="54" s="1"/>
  <c r="I330" i="54"/>
  <c r="I329" i="54" s="1"/>
  <c r="I328" i="54" s="1"/>
  <c r="N266" i="54"/>
  <c r="N265" i="54" s="1"/>
  <c r="N732" i="54"/>
  <c r="N731" i="54" s="1"/>
  <c r="N730" i="54" s="1"/>
  <c r="N729" i="54" s="1"/>
  <c r="N807" i="54"/>
  <c r="N895" i="54"/>
  <c r="N885" i="54" s="1"/>
  <c r="N884" i="54" s="1"/>
  <c r="I807" i="54"/>
  <c r="F807" i="54"/>
  <c r="F67" i="54"/>
  <c r="I621" i="54"/>
  <c r="I620" i="54" s="1"/>
  <c r="I619" i="54" s="1"/>
  <c r="I618" i="54" s="1"/>
  <c r="I608" i="54" s="1"/>
  <c r="I607" i="54" s="1"/>
  <c r="I606" i="54" s="1"/>
  <c r="I593" i="54" s="1"/>
  <c r="I592" i="54" s="1"/>
  <c r="I591" i="54" s="1"/>
  <c r="N841" i="54"/>
  <c r="N840" i="54" s="1"/>
  <c r="N839" i="54" s="1"/>
  <c r="N838" i="54" s="1"/>
  <c r="F732" i="54"/>
  <c r="F731" i="54" s="1"/>
  <c r="F730" i="54" s="1"/>
  <c r="F729" i="54" s="1"/>
  <c r="F840" i="54"/>
  <c r="F839" i="54" s="1"/>
  <c r="F838" i="54" s="1"/>
  <c r="I266" i="54"/>
  <c r="I265" i="54" s="1"/>
  <c r="I732" i="54"/>
  <c r="I731" i="54" s="1"/>
  <c r="I730" i="54" s="1"/>
  <c r="I729" i="54" s="1"/>
  <c r="F621" i="54"/>
  <c r="I204" i="54"/>
  <c r="I203" i="54" s="1"/>
  <c r="I174" i="54"/>
  <c r="I173" i="54" s="1"/>
  <c r="I144" i="54" s="1"/>
  <c r="I411" i="54"/>
  <c r="I401" i="54" s="1"/>
  <c r="I400" i="54" s="1"/>
  <c r="I399" i="54" s="1"/>
  <c r="N621" i="54"/>
  <c r="N620" i="54" s="1"/>
  <c r="N619" i="54" s="1"/>
  <c r="N618" i="54" s="1"/>
  <c r="N608" i="54" s="1"/>
  <c r="N607" i="54" s="1"/>
  <c r="N606" i="54" s="1"/>
  <c r="N593" i="54" s="1"/>
  <c r="N592" i="54" s="1"/>
  <c r="N591" i="54" s="1"/>
  <c r="N174" i="54"/>
  <c r="N173" i="54" s="1"/>
  <c r="N144" i="54" s="1"/>
  <c r="F648" i="54"/>
  <c r="L674" i="32"/>
  <c r="G674" i="32"/>
  <c r="L631" i="32"/>
  <c r="G631" i="32"/>
  <c r="L638" i="32"/>
  <c r="G638" i="32"/>
  <c r="D638" i="32"/>
  <c r="H6" i="54" l="1"/>
  <c r="H966" i="54" s="1"/>
  <c r="F401" i="54"/>
  <c r="F400" i="54" s="1"/>
  <c r="F399" i="54" s="1"/>
  <c r="F301" i="54" s="1"/>
  <c r="F66" i="54"/>
  <c r="F65" i="54" s="1"/>
  <c r="F7" i="54" s="1"/>
  <c r="F202" i="54"/>
  <c r="N202" i="54"/>
  <c r="N301" i="54"/>
  <c r="I7" i="54"/>
  <c r="I590" i="54"/>
  <c r="I573" i="54" s="1"/>
  <c r="F837" i="54"/>
  <c r="F786" i="54" s="1"/>
  <c r="N7" i="54"/>
  <c r="I301" i="54"/>
  <c r="I786" i="54"/>
  <c r="N590" i="54"/>
  <c r="N573" i="54" s="1"/>
  <c r="N837" i="54"/>
  <c r="N786" i="54" s="1"/>
  <c r="F620" i="54"/>
  <c r="F619" i="54" s="1"/>
  <c r="F618" i="54" s="1"/>
  <c r="F608" i="54" s="1"/>
  <c r="F607" i="54" s="1"/>
  <c r="F606" i="54" s="1"/>
  <c r="I202" i="54"/>
  <c r="L371" i="32"/>
  <c r="G371" i="32"/>
  <c r="D371" i="32"/>
  <c r="L374" i="32"/>
  <c r="G374" i="32"/>
  <c r="D374" i="32"/>
  <c r="F6" i="54" l="1"/>
  <c r="I6" i="54"/>
  <c r="I966" i="54" s="1"/>
  <c r="F593" i="54"/>
  <c r="F592" i="54" s="1"/>
  <c r="F591" i="54" s="1"/>
  <c r="F590" i="54" s="1"/>
  <c r="F573" i="54" s="1"/>
  <c r="N6" i="54"/>
  <c r="G465" i="32"/>
  <c r="L569" i="32"/>
  <c r="F966" i="54" l="1"/>
  <c r="L432" i="32"/>
  <c r="G432" i="32"/>
  <c r="D432" i="32"/>
  <c r="L520" i="32" l="1"/>
  <c r="L519" i="32" s="1"/>
  <c r="L518" i="32" s="1"/>
  <c r="G520" i="32"/>
  <c r="G519" i="32" s="1"/>
  <c r="G518" i="32" s="1"/>
  <c r="D520" i="32"/>
  <c r="D519" i="32" s="1"/>
  <c r="D518" i="32" s="1"/>
  <c r="L477" i="32"/>
  <c r="G477" i="32"/>
  <c r="L456" i="32"/>
  <c r="L455" i="32" s="1"/>
  <c r="G456" i="32"/>
  <c r="G455" i="32" s="1"/>
  <c r="D455" i="32"/>
  <c r="L429" i="32" l="1"/>
  <c r="G429" i="32"/>
  <c r="D429" i="32"/>
  <c r="D417" i="32"/>
  <c r="G408" i="32" l="1"/>
  <c r="G407" i="32" s="1"/>
  <c r="G405" i="32"/>
  <c r="G404" i="32" s="1"/>
  <c r="L514" i="32"/>
  <c r="D514" i="32"/>
  <c r="D513" i="32" s="1"/>
  <c r="G401" i="32" l="1"/>
  <c r="G402" i="32"/>
  <c r="L642" i="32" l="1"/>
  <c r="G642" i="32"/>
  <c r="D642" i="32"/>
  <c r="L114" i="32"/>
  <c r="L111" i="32"/>
  <c r="G111" i="32"/>
  <c r="C14" i="31"/>
  <c r="C13" i="31" l="1"/>
  <c r="C12" i="31" s="1"/>
  <c r="C11" i="31" s="1"/>
  <c r="C10" i="31"/>
  <c r="C9" i="31" s="1"/>
  <c r="C19" i="31" s="1"/>
  <c r="L142" i="32" l="1"/>
  <c r="G142" i="32"/>
  <c r="D142" i="32"/>
  <c r="L140" i="32"/>
  <c r="G140" i="32"/>
  <c r="D140" i="32"/>
  <c r="E14" i="31" l="1"/>
  <c r="E13" i="31" s="1"/>
  <c r="E12" i="31" s="1"/>
  <c r="E11" i="31" s="1"/>
  <c r="D14" i="31"/>
  <c r="D13" i="31" l="1"/>
  <c r="D12" i="31" s="1"/>
  <c r="D11" i="31" s="1"/>
  <c r="L148" i="32"/>
  <c r="G148" i="32"/>
  <c r="D148" i="32"/>
  <c r="D145" i="32" s="1"/>
  <c r="L84" i="32" l="1"/>
  <c r="G84" i="32"/>
  <c r="L87" i="32"/>
  <c r="D265" i="32" l="1"/>
  <c r="L628" i="32" l="1"/>
  <c r="G628" i="32"/>
  <c r="D628" i="32"/>
  <c r="D53" i="32" l="1"/>
  <c r="G53" i="32"/>
  <c r="L19" i="32" l="1"/>
  <c r="G19" i="32"/>
  <c r="D19" i="32"/>
  <c r="L11" i="32"/>
  <c r="L10" i="32" s="1"/>
  <c r="G11" i="32"/>
  <c r="G10" i="32" s="1"/>
  <c r="D11" i="32"/>
  <c r="D10" i="32" s="1"/>
  <c r="D592" i="32" l="1"/>
  <c r="D591" i="32" s="1"/>
  <c r="D590" i="32" s="1"/>
  <c r="D589" i="32" s="1"/>
  <c r="D618" i="32"/>
  <c r="D617" i="32" s="1"/>
  <c r="D616" i="32" s="1"/>
  <c r="L550" i="32"/>
  <c r="D486" i="32" l="1"/>
  <c r="D483" i="32" s="1"/>
  <c r="G473" i="32"/>
  <c r="D427" i="32"/>
  <c r="D380" i="32" l="1"/>
  <c r="L378" i="32"/>
  <c r="G378" i="32"/>
  <c r="D378" i="32"/>
  <c r="D370" i="32"/>
  <c r="L254" i="32" l="1"/>
  <c r="G254" i="32"/>
  <c r="D254" i="32"/>
  <c r="L239" i="32" l="1"/>
  <c r="G239" i="32"/>
  <c r="D239" i="32"/>
  <c r="D477" i="32" l="1"/>
  <c r="L65" i="32" l="1"/>
  <c r="G65" i="32"/>
  <c r="D65" i="32"/>
  <c r="L68" i="32"/>
  <c r="G68" i="32"/>
  <c r="D68" i="32"/>
  <c r="L66" i="32"/>
  <c r="G66" i="32"/>
  <c r="D66" i="32"/>
  <c r="L70" i="32"/>
  <c r="G70" i="32"/>
  <c r="D70" i="32"/>
  <c r="G618" i="32" l="1"/>
  <c r="G617" i="32" s="1"/>
  <c r="G616" i="32" s="1"/>
  <c r="L86" i="32" l="1"/>
  <c r="D631" i="32" l="1"/>
  <c r="D453" i="32"/>
  <c r="D84" i="32" l="1"/>
  <c r="D103" i="32"/>
  <c r="D275" i="32"/>
  <c r="D274" i="32" s="1"/>
  <c r="D296" i="32"/>
  <c r="D295" i="32" s="1"/>
  <c r="L212" i="32"/>
  <c r="L211" i="32" s="1"/>
  <c r="G213" i="32"/>
  <c r="G212" i="32" s="1"/>
  <c r="D213" i="32"/>
  <c r="D212" i="32" s="1"/>
  <c r="D221" i="32"/>
  <c r="D340" i="32"/>
  <c r="D339" i="32" s="1"/>
  <c r="G103" i="32"/>
  <c r="L103" i="32"/>
  <c r="D673" i="32"/>
  <c r="D292" i="32"/>
  <c r="G607" i="32"/>
  <c r="G606" i="32" s="1"/>
  <c r="L606" i="32"/>
  <c r="D607" i="32"/>
  <c r="D606" i="32" s="1"/>
  <c r="L469" i="32"/>
  <c r="L117" i="32"/>
  <c r="L116" i="32" s="1"/>
  <c r="G116" i="32"/>
  <c r="D116" i="32"/>
  <c r="L113" i="32"/>
  <c r="G113" i="32"/>
  <c r="D113" i="32"/>
  <c r="L94" i="32"/>
  <c r="G94" i="32"/>
  <c r="D94" i="32"/>
  <c r="L673" i="32"/>
  <c r="G673" i="32"/>
  <c r="L663" i="32"/>
  <c r="G663" i="32"/>
  <c r="D663" i="32"/>
  <c r="L661" i="32"/>
  <c r="G661" i="32"/>
  <c r="D661" i="32"/>
  <c r="L657" i="32"/>
  <c r="G657" i="32"/>
  <c r="L655" i="32"/>
  <c r="G655" i="32"/>
  <c r="D655" i="32"/>
  <c r="L652" i="32"/>
  <c r="G652" i="32"/>
  <c r="D652" i="32"/>
  <c r="L650" i="32"/>
  <c r="G650" i="32"/>
  <c r="D650" i="32"/>
  <c r="L644" i="32"/>
  <c r="G644" i="32"/>
  <c r="D644" i="32"/>
  <c r="L635" i="32"/>
  <c r="G635" i="32"/>
  <c r="D635" i="32"/>
  <c r="L625" i="32"/>
  <c r="G625" i="32"/>
  <c r="D625" i="32"/>
  <c r="L623" i="32"/>
  <c r="G623" i="32"/>
  <c r="D623" i="32"/>
  <c r="D615" i="32"/>
  <c r="L615" i="32"/>
  <c r="G615" i="32"/>
  <c r="L613" i="32"/>
  <c r="L612" i="32" s="1"/>
  <c r="G613" i="32"/>
  <c r="G612" i="32" s="1"/>
  <c r="D613" i="32"/>
  <c r="D612" i="32" s="1"/>
  <c r="L599" i="32"/>
  <c r="G599" i="32"/>
  <c r="D599" i="32"/>
  <c r="L591" i="32"/>
  <c r="L590" i="32" s="1"/>
  <c r="L589" i="32" s="1"/>
  <c r="G592" i="32"/>
  <c r="G591" i="32" s="1"/>
  <c r="G590" i="32" s="1"/>
  <c r="G589" i="32" s="1"/>
  <c r="L587" i="32"/>
  <c r="L586" i="32" s="1"/>
  <c r="G587" i="32"/>
  <c r="G586" i="32" s="1"/>
  <c r="D587" i="32"/>
  <c r="D586" i="32" s="1"/>
  <c r="L583" i="32"/>
  <c r="G583" i="32"/>
  <c r="D583" i="32"/>
  <c r="L581" i="32"/>
  <c r="G581" i="32"/>
  <c r="D581" i="32"/>
  <c r="L579" i="32"/>
  <c r="G579" i="32"/>
  <c r="D579" i="32"/>
  <c r="L576" i="32"/>
  <c r="G576" i="32"/>
  <c r="L574" i="32"/>
  <c r="G574" i="32"/>
  <c r="D574" i="32"/>
  <c r="L567" i="32"/>
  <c r="G567" i="32"/>
  <c r="D567" i="32"/>
  <c r="L565" i="32"/>
  <c r="G565" i="32"/>
  <c r="D565" i="32"/>
  <c r="L561" i="32"/>
  <c r="G561" i="32"/>
  <c r="D561" i="32"/>
  <c r="L559" i="32"/>
  <c r="G559" i="32"/>
  <c r="D559" i="32"/>
  <c r="L557" i="32"/>
  <c r="G557" i="32"/>
  <c r="D557" i="32"/>
  <c r="L554" i="32"/>
  <c r="L553" i="32" s="1"/>
  <c r="G554" i="32"/>
  <c r="G553" i="32" s="1"/>
  <c r="D554" i="32"/>
  <c r="D553" i="32" s="1"/>
  <c r="L549" i="32"/>
  <c r="L548" i="32" s="1"/>
  <c r="G550" i="32"/>
  <c r="G549" i="32" s="1"/>
  <c r="G548" i="32" s="1"/>
  <c r="D550" i="32"/>
  <c r="D549" i="32" s="1"/>
  <c r="D548" i="32" s="1"/>
  <c r="L546" i="32"/>
  <c r="L545" i="32" s="1"/>
  <c r="L544" i="32" s="1"/>
  <c r="G546" i="32"/>
  <c r="G545" i="32" s="1"/>
  <c r="G544" i="32" s="1"/>
  <c r="D546" i="32"/>
  <c r="D545" i="32" s="1"/>
  <c r="D544" i="32" s="1"/>
  <c r="L542" i="32"/>
  <c r="L541" i="32" s="1"/>
  <c r="G542" i="32"/>
  <c r="G541" i="32" s="1"/>
  <c r="D542" i="32"/>
  <c r="D541" i="32" s="1"/>
  <c r="L533" i="32"/>
  <c r="G533" i="32"/>
  <c r="D533" i="32"/>
  <c r="L530" i="32"/>
  <c r="L529" i="32" s="1"/>
  <c r="G530" i="32"/>
  <c r="G529" i="32" s="1"/>
  <c r="D530" i="32"/>
  <c r="D529" i="32" s="1"/>
  <c r="L526" i="32"/>
  <c r="L525" i="32" s="1"/>
  <c r="G526" i="32"/>
  <c r="G525" i="32" s="1"/>
  <c r="D526" i="32"/>
  <c r="D525" i="32" s="1"/>
  <c r="L513" i="32"/>
  <c r="L512" i="32" s="1"/>
  <c r="L508" i="32" s="1"/>
  <c r="G514" i="32"/>
  <c r="G513" i="32" s="1"/>
  <c r="G512" i="32" s="1"/>
  <c r="G508" i="32" s="1"/>
  <c r="D512" i="32"/>
  <c r="D508" i="32" s="1"/>
  <c r="L463" i="32"/>
  <c r="G463" i="32"/>
  <c r="G462" i="32" s="1"/>
  <c r="G461" i="32" s="1"/>
  <c r="D463" i="32"/>
  <c r="D462" i="32" s="1"/>
  <c r="D461" i="32" s="1"/>
  <c r="L451" i="32"/>
  <c r="G451" i="32"/>
  <c r="D451" i="32"/>
  <c r="L449" i="32"/>
  <c r="G449" i="32"/>
  <c r="D449" i="32"/>
  <c r="L447" i="32"/>
  <c r="G447" i="32"/>
  <c r="D447" i="32"/>
  <c r="L439" i="32"/>
  <c r="G439" i="32"/>
  <c r="D439" i="32"/>
  <c r="L436" i="32"/>
  <c r="G436" i="32"/>
  <c r="D436" i="32"/>
  <c r="D416" i="32" s="1"/>
  <c r="L418" i="32"/>
  <c r="L417" i="32" s="1"/>
  <c r="G417" i="32"/>
  <c r="L412" i="32"/>
  <c r="L411" i="32" s="1"/>
  <c r="G412" i="32"/>
  <c r="G411" i="32" s="1"/>
  <c r="D412" i="32"/>
  <c r="D411" i="32" s="1"/>
  <c r="L397" i="32"/>
  <c r="L396" i="32" s="1"/>
  <c r="G397" i="32"/>
  <c r="G396" i="32" s="1"/>
  <c r="D397" i="32"/>
  <c r="D396" i="32" s="1"/>
  <c r="L392" i="32"/>
  <c r="G392" i="32"/>
  <c r="D392" i="32"/>
  <c r="L380" i="32"/>
  <c r="G380" i="32"/>
  <c r="L376" i="32"/>
  <c r="G376" i="32"/>
  <c r="D376" i="32"/>
  <c r="D369" i="32" s="1"/>
  <c r="D368" i="32" s="1"/>
  <c r="L370" i="32"/>
  <c r="G370" i="32"/>
  <c r="L364" i="32"/>
  <c r="G364" i="32"/>
  <c r="D364" i="32"/>
  <c r="L362" i="32"/>
  <c r="G362" i="32"/>
  <c r="D362" i="32"/>
  <c r="L360" i="32"/>
  <c r="G360" i="32"/>
  <c r="D360" i="32"/>
  <c r="L349" i="32"/>
  <c r="L348" i="32" s="1"/>
  <c r="G349" i="32"/>
  <c r="G348" i="32" s="1"/>
  <c r="L340" i="32"/>
  <c r="L339" i="32" s="1"/>
  <c r="G340" i="32"/>
  <c r="G339" i="32" s="1"/>
  <c r="L336" i="32"/>
  <c r="L335" i="32" s="1"/>
  <c r="L334" i="32" s="1"/>
  <c r="G336" i="32"/>
  <c r="G335" i="32" s="1"/>
  <c r="G334" i="32" s="1"/>
  <c r="D336" i="32"/>
  <c r="D335" i="32" s="1"/>
  <c r="D334" i="32" s="1"/>
  <c r="L328" i="32"/>
  <c r="G328" i="32"/>
  <c r="D328" i="32"/>
  <c r="D327" i="32" s="1"/>
  <c r="L291" i="32"/>
  <c r="G291" i="32"/>
  <c r="L288" i="32"/>
  <c r="G288" i="32"/>
  <c r="D288" i="32"/>
  <c r="L286" i="32"/>
  <c r="G286" i="32"/>
  <c r="D286" i="32"/>
  <c r="L283" i="32"/>
  <c r="G283" i="32"/>
  <c r="D283" i="32"/>
  <c r="L281" i="32"/>
  <c r="G281" i="32"/>
  <c r="D281" i="32"/>
  <c r="L278" i="32"/>
  <c r="L277" i="32" s="1"/>
  <c r="G278" i="32"/>
  <c r="G277" i="32" s="1"/>
  <c r="D278" i="32"/>
  <c r="D277" i="32" s="1"/>
  <c r="L275" i="32"/>
  <c r="L274" i="32" s="1"/>
  <c r="G275" i="32"/>
  <c r="G274" i="32" s="1"/>
  <c r="L270" i="32"/>
  <c r="G270" i="32"/>
  <c r="D270" i="32"/>
  <c r="L268" i="32"/>
  <c r="G268" i="32"/>
  <c r="D268" i="32"/>
  <c r="L265" i="32"/>
  <c r="L264" i="32" s="1"/>
  <c r="G265" i="32"/>
  <c r="G264" i="32" s="1"/>
  <c r="D264" i="32"/>
  <c r="L256" i="32"/>
  <c r="G256" i="32"/>
  <c r="D256" i="32"/>
  <c r="L249" i="32"/>
  <c r="G249" i="32"/>
  <c r="L247" i="32"/>
  <c r="G247" i="32"/>
  <c r="D247" i="32"/>
  <c r="L244" i="32"/>
  <c r="G244" i="32"/>
  <c r="D244" i="32"/>
  <c r="L229" i="32"/>
  <c r="G229" i="32"/>
  <c r="D229" i="32"/>
  <c r="L227" i="32"/>
  <c r="G227" i="32"/>
  <c r="D227" i="32"/>
  <c r="L224" i="32"/>
  <c r="G224" i="32"/>
  <c r="D224" i="32"/>
  <c r="L221" i="32"/>
  <c r="G221" i="32"/>
  <c r="G215" i="32"/>
  <c r="D215" i="32"/>
  <c r="L208" i="32"/>
  <c r="L207" i="32" s="1"/>
  <c r="L206" i="32" s="1"/>
  <c r="G208" i="32"/>
  <c r="G207" i="32" s="1"/>
  <c r="G206" i="32" s="1"/>
  <c r="D208" i="32"/>
  <c r="D207" i="32" s="1"/>
  <c r="D206" i="32" s="1"/>
  <c r="L204" i="32"/>
  <c r="L203" i="32" s="1"/>
  <c r="G204" i="32"/>
  <c r="G203" i="32" s="1"/>
  <c r="D204" i="32"/>
  <c r="D203" i="32" s="1"/>
  <c r="L200" i="32"/>
  <c r="L199" i="32" s="1"/>
  <c r="L198" i="32" s="1"/>
  <c r="G200" i="32"/>
  <c r="G199" i="32" s="1"/>
  <c r="G198" i="32" s="1"/>
  <c r="D200" i="32"/>
  <c r="D199" i="32" s="1"/>
  <c r="D198" i="32" s="1"/>
  <c r="L191" i="32"/>
  <c r="L190" i="32" s="1"/>
  <c r="L189" i="32" s="1"/>
  <c r="G191" i="32"/>
  <c r="G190" i="32" s="1"/>
  <c r="G189" i="32" s="1"/>
  <c r="D191" i="32"/>
  <c r="D190" i="32" s="1"/>
  <c r="D189" i="32" s="1"/>
  <c r="D175" i="32"/>
  <c r="D174" i="32" s="1"/>
  <c r="L175" i="32"/>
  <c r="L174" i="32" s="1"/>
  <c r="G175" i="32"/>
  <c r="L170" i="32"/>
  <c r="L169" i="32" s="1"/>
  <c r="G170" i="32"/>
  <c r="G169" i="32" s="1"/>
  <c r="D170" i="32"/>
  <c r="D169" i="32" s="1"/>
  <c r="D162" i="32" s="1"/>
  <c r="L163" i="32"/>
  <c r="G163" i="32"/>
  <c r="L160" i="32"/>
  <c r="G160" i="32"/>
  <c r="D160" i="32"/>
  <c r="L158" i="32"/>
  <c r="G158" i="32"/>
  <c r="D158" i="32"/>
  <c r="L146" i="32"/>
  <c r="L145" i="32" s="1"/>
  <c r="G146" i="32"/>
  <c r="G145" i="32" s="1"/>
  <c r="L138" i="32"/>
  <c r="G138" i="32"/>
  <c r="D138" i="32"/>
  <c r="L136" i="32"/>
  <c r="G136" i="32"/>
  <c r="D136" i="32"/>
  <c r="L134" i="32"/>
  <c r="G134" i="32"/>
  <c r="D134" i="32"/>
  <c r="L132" i="32"/>
  <c r="G132" i="32"/>
  <c r="D132" i="32"/>
  <c r="L130" i="32"/>
  <c r="G130" i="32"/>
  <c r="D130" i="32"/>
  <c r="D111" i="32"/>
  <c r="L107" i="32"/>
  <c r="G107" i="32"/>
  <c r="D107" i="32"/>
  <c r="L105" i="32"/>
  <c r="G105" i="32"/>
  <c r="D105" i="32"/>
  <c r="L101" i="32"/>
  <c r="G101" i="32"/>
  <c r="D101" i="32"/>
  <c r="L97" i="32"/>
  <c r="L96" i="32" s="1"/>
  <c r="G97" i="32"/>
  <c r="G96" i="32" s="1"/>
  <c r="D97" i="32"/>
  <c r="D96" i="32" s="1"/>
  <c r="D91" i="32"/>
  <c r="L91" i="32"/>
  <c r="G91" i="32"/>
  <c r="G87" i="32"/>
  <c r="G86" i="32" s="1"/>
  <c r="D87" i="32"/>
  <c r="D86" i="32" s="1"/>
  <c r="L82" i="32"/>
  <c r="G82" i="32"/>
  <c r="D82" i="32"/>
  <c r="L75" i="32"/>
  <c r="G75" i="32"/>
  <c r="D75" i="32"/>
  <c r="G55" i="32"/>
  <c r="D55" i="32"/>
  <c r="L53" i="32"/>
  <c r="L51" i="32"/>
  <c r="G51" i="32"/>
  <c r="D51" i="32"/>
  <c r="L48" i="32"/>
  <c r="G48" i="32"/>
  <c r="D48" i="32"/>
  <c r="L43" i="32"/>
  <c r="G43" i="32"/>
  <c r="D43" i="32"/>
  <c r="L23" i="32"/>
  <c r="G23" i="32"/>
  <c r="D23" i="32"/>
  <c r="D22" i="32" s="1"/>
  <c r="L17" i="32"/>
  <c r="L16" i="32" s="1"/>
  <c r="G17" i="32"/>
  <c r="G16" i="32" s="1"/>
  <c r="D17" i="32"/>
  <c r="D16" i="32" s="1"/>
  <c r="L14" i="32"/>
  <c r="L13" i="32" s="1"/>
  <c r="G14" i="32"/>
  <c r="G13" i="32" s="1"/>
  <c r="D14" i="32"/>
  <c r="D13" i="32" s="1"/>
  <c r="D687" i="32" l="1"/>
  <c r="D689" i="32"/>
  <c r="D528" i="32"/>
  <c r="D630" i="32"/>
  <c r="G174" i="32"/>
  <c r="I175" i="32"/>
  <c r="I174" i="32" s="1"/>
  <c r="I173" i="32" s="1"/>
  <c r="I72" i="32" s="1"/>
  <c r="I7" i="32" s="1"/>
  <c r="I685" i="32" s="1"/>
  <c r="D18" i="31" s="1"/>
  <c r="D438" i="32"/>
  <c r="D410" i="32" s="1"/>
  <c r="D359" i="32"/>
  <c r="D358" i="32" s="1"/>
  <c r="D290" i="32"/>
  <c r="D598" i="32"/>
  <c r="D597" i="32" s="1"/>
  <c r="D267" i="32"/>
  <c r="G243" i="32"/>
  <c r="D243" i="32"/>
  <c r="D242" i="32" s="1"/>
  <c r="G630" i="32"/>
  <c r="L630" i="32"/>
  <c r="D391" i="32"/>
  <c r="D388" i="32" s="1"/>
  <c r="D387" i="32" s="1"/>
  <c r="D389" i="32"/>
  <c r="L391" i="32"/>
  <c r="L388" i="32" s="1"/>
  <c r="L387" i="32" s="1"/>
  <c r="L389" i="32"/>
  <c r="G391" i="32"/>
  <c r="G388" i="32" s="1"/>
  <c r="G387" i="32" s="1"/>
  <c r="G389" i="32"/>
  <c r="L100" i="32"/>
  <c r="G100" i="32"/>
  <c r="D100" i="32"/>
  <c r="L327" i="32"/>
  <c r="L326" i="32" s="1"/>
  <c r="G327" i="32"/>
  <c r="G326" i="32" s="1"/>
  <c r="D291" i="32"/>
  <c r="L9" i="32"/>
  <c r="G9" i="32"/>
  <c r="D226" i="32"/>
  <c r="L462" i="32"/>
  <c r="L461" i="32" s="1"/>
  <c r="G280" i="32"/>
  <c r="D280" i="32"/>
  <c r="L280" i="32"/>
  <c r="L243" i="32"/>
  <c r="L242" i="32" s="1"/>
  <c r="L369" i="32"/>
  <c r="L368" i="32" s="1"/>
  <c r="G162" i="32"/>
  <c r="D93" i="32"/>
  <c r="D90" i="32" s="1"/>
  <c r="D129" i="32"/>
  <c r="D128" i="32" s="1"/>
  <c r="D173" i="32"/>
  <c r="L93" i="32"/>
  <c r="L90" i="32" s="1"/>
  <c r="G93" i="32"/>
  <c r="G90" i="32" s="1"/>
  <c r="L162" i="32"/>
  <c r="D74" i="32"/>
  <c r="L74" i="32"/>
  <c r="L73" i="32" s="1"/>
  <c r="G74" i="32"/>
  <c r="G369" i="32"/>
  <c r="G368" i="32" s="1"/>
  <c r="D349" i="32"/>
  <c r="D348" i="32" s="1"/>
  <c r="L173" i="32"/>
  <c r="D573" i="32"/>
  <c r="G226" i="32"/>
  <c r="G157" i="32"/>
  <c r="L220" i="32"/>
  <c r="G267" i="32"/>
  <c r="D556" i="32"/>
  <c r="L564" i="32"/>
  <c r="G622" i="32"/>
  <c r="D21" i="32"/>
  <c r="L202" i="32"/>
  <c r="L197" i="32" s="1"/>
  <c r="D220" i="32"/>
  <c r="L622" i="32"/>
  <c r="G528" i="32"/>
  <c r="G524" i="32" s="1"/>
  <c r="L338" i="32"/>
  <c r="L285" i="32"/>
  <c r="G598" i="32"/>
  <c r="G597" i="32" s="1"/>
  <c r="L144" i="32"/>
  <c r="L598" i="32"/>
  <c r="L597" i="32" s="1"/>
  <c r="L226" i="32"/>
  <c r="L267" i="32"/>
  <c r="G285" i="32"/>
  <c r="L438" i="32"/>
  <c r="G564" i="32"/>
  <c r="L573" i="32"/>
  <c r="G573" i="32"/>
  <c r="L157" i="32"/>
  <c r="G202" i="32"/>
  <c r="G197" i="32" s="1"/>
  <c r="G220" i="32"/>
  <c r="D285" i="32"/>
  <c r="D524" i="32"/>
  <c r="D211" i="32"/>
  <c r="L359" i="32"/>
  <c r="L358" i="32" s="1"/>
  <c r="L528" i="32"/>
  <c r="L524" i="32" s="1"/>
  <c r="L556" i="32"/>
  <c r="L129" i="32"/>
  <c r="L128" i="32" s="1"/>
  <c r="G144" i="32"/>
  <c r="D144" i="32"/>
  <c r="D157" i="32"/>
  <c r="D622" i="32"/>
  <c r="G359" i="32"/>
  <c r="G358" i="32" s="1"/>
  <c r="G438" i="32"/>
  <c r="G556" i="32"/>
  <c r="G36" i="32"/>
  <c r="G35" i="32" s="1"/>
  <c r="D326" i="32"/>
  <c r="D36" i="32"/>
  <c r="D35" i="32" s="1"/>
  <c r="G22" i="32"/>
  <c r="G21" i="32" s="1"/>
  <c r="G129" i="32"/>
  <c r="G128" i="32" s="1"/>
  <c r="G173" i="32"/>
  <c r="D202" i="32"/>
  <c r="D197" i="32" s="1"/>
  <c r="D564" i="32"/>
  <c r="L22" i="32"/>
  <c r="L21" i="32" s="1"/>
  <c r="G211" i="32"/>
  <c r="L416" i="32"/>
  <c r="D9" i="32"/>
  <c r="G416" i="32"/>
  <c r="G338" i="32"/>
  <c r="D15" i="31" l="1"/>
  <c r="D16" i="31"/>
  <c r="D17" i="31"/>
  <c r="D621" i="32"/>
  <c r="D263" i="32"/>
  <c r="D262" i="32" s="1"/>
  <c r="L89" i="32"/>
  <c r="D89" i="32"/>
  <c r="L552" i="32"/>
  <c r="G552" i="32"/>
  <c r="D552" i="32"/>
  <c r="G89" i="32"/>
  <c r="G523" i="32"/>
  <c r="L523" i="32"/>
  <c r="G210" i="32"/>
  <c r="D210" i="32"/>
  <c r="L210" i="32"/>
  <c r="D563" i="32"/>
  <c r="D523" i="32"/>
  <c r="L357" i="32"/>
  <c r="L563" i="32"/>
  <c r="G563" i="32"/>
  <c r="D357" i="32"/>
  <c r="G156" i="32"/>
  <c r="G621" i="32"/>
  <c r="L156" i="32"/>
  <c r="L621" i="32"/>
  <c r="D73" i="32"/>
  <c r="L410" i="32"/>
  <c r="D338" i="32"/>
  <c r="L263" i="32"/>
  <c r="L262" i="32" s="1"/>
  <c r="G263" i="32"/>
  <c r="G262" i="32" s="1"/>
  <c r="G410" i="32"/>
  <c r="G357" i="32"/>
  <c r="G73" i="32"/>
  <c r="G242" i="32"/>
  <c r="D156" i="32"/>
  <c r="D10" i="31" l="1"/>
  <c r="D9" i="31" s="1"/>
  <c r="D19" i="31" s="1"/>
  <c r="D386" i="32"/>
  <c r="G72" i="32"/>
  <c r="G386" i="32"/>
  <c r="L386" i="32"/>
  <c r="L72" i="32"/>
  <c r="D72" i="32"/>
  <c r="L64" i="32" l="1"/>
  <c r="G64" i="32"/>
  <c r="G8" i="32" s="1"/>
  <c r="G7" i="32" s="1"/>
  <c r="D64" i="32"/>
  <c r="D8" i="32" s="1"/>
  <c r="G685" i="32" l="1"/>
  <c r="D7" i="32"/>
  <c r="D685" i="32" s="1"/>
  <c r="L55" i="32"/>
  <c r="L36" i="32" s="1"/>
  <c r="L35" i="32" s="1"/>
  <c r="L8" i="32" l="1"/>
  <c r="L7" i="32" l="1"/>
  <c r="L685" i="32" s="1"/>
  <c r="E18" i="31" s="1"/>
  <c r="E16" i="31" l="1"/>
  <c r="E15" i="31"/>
  <c r="E10" i="31" s="1"/>
  <c r="E9" i="31" s="1"/>
  <c r="E19" i="31" s="1"/>
  <c r="E17" i="31"/>
  <c r="N947" i="54"/>
  <c r="N946" i="54" s="1"/>
  <c r="N937" i="54" s="1"/>
  <c r="N936" i="54" s="1"/>
  <c r="N935" i="54" s="1"/>
  <c r="N934" i="54" s="1"/>
  <c r="N966" i="54" s="1"/>
</calcChain>
</file>

<file path=xl/sharedStrings.xml><?xml version="1.0" encoding="utf-8"?>
<sst xmlns="http://schemas.openxmlformats.org/spreadsheetml/2006/main" count="3726" uniqueCount="1307">
  <si>
    <t>2022 год</t>
  </si>
  <si>
    <t>в том числе</t>
  </si>
  <si>
    <t>2023 год</t>
  </si>
  <si>
    <t>(тыс.руб.)</t>
  </si>
  <si>
    <t>01 05 00 00 00 0000 000</t>
  </si>
  <si>
    <t xml:space="preserve"> </t>
  </si>
  <si>
    <t>Целевая статья</t>
  </si>
  <si>
    <t>Вид расходов</t>
  </si>
  <si>
    <t>Направление расходов (отрасль), наименование показателя</t>
  </si>
  <si>
    <t>00 0 00 00000</t>
  </si>
  <si>
    <t>Муниципальные программы Юсьвинского муниципального округа Пермского края</t>
  </si>
  <si>
    <t>01 0 00 00000</t>
  </si>
  <si>
    <t>Муниципальная программа "Совершенствование муниципального управления в Юсьвинском муниципальном округе Пермского края"</t>
  </si>
  <si>
    <t>01 1 00 00000</t>
  </si>
  <si>
    <t>Подпрограмма "Формирование общедоступной информационно-коммуникационной среды"</t>
  </si>
  <si>
    <t>01 1 10 00000</t>
  </si>
  <si>
    <t>Основное мероприятие "Обеспечение хранения архивных дел в соответствии с требованиями действующего законодательства Российской Федерации, расширение объемов архивного хранения"</t>
  </si>
  <si>
    <t>200</t>
  </si>
  <si>
    <t>Закупка товаров, работ и услуг для обеспечения  государственных (муниципальных) нужд</t>
  </si>
  <si>
    <t>01 1 20 00000</t>
  </si>
  <si>
    <t>Основное мероприятие "Предоставление муниципальных услуг в электронном виде"</t>
  </si>
  <si>
    <t>01 1 20 4У020</t>
  </si>
  <si>
    <t>01 1 30 00000</t>
  </si>
  <si>
    <t>Основное мероприятие "Информационное сопровождение деятельности органов местного самоуправления Юсьвинского муниципального округа Пермского края"</t>
  </si>
  <si>
    <t>01 1 30 4У040</t>
  </si>
  <si>
    <t>Обеспечение функционирования официального сайта администрации, предоставление информационных услуг</t>
  </si>
  <si>
    <t>01 2 00 00000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</si>
  <si>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</si>
  <si>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>01 2 10 00000</t>
  </si>
  <si>
    <t>01 2 10 4У060</t>
  </si>
  <si>
    <t>100</t>
  </si>
  <si>
    <t>01 2 10 4У070</t>
  </si>
  <si>
    <t>800</t>
  </si>
  <si>
    <t>Иные бюджетные ассигнования</t>
  </si>
  <si>
    <t>01 2 10 4У080</t>
  </si>
  <si>
    <t>01 2 10 70001</t>
  </si>
  <si>
    <t>Выплата пенсии за выслугу лет лицам, замещавшим муниципальные  должности и должности муниципальной службы</t>
  </si>
  <si>
    <t>300</t>
  </si>
  <si>
    <t>Социальное обеспечение и иные выплаты населению</t>
  </si>
  <si>
    <t>01 3 00 00000</t>
  </si>
  <si>
    <t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</si>
  <si>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>01 3 10 00000</t>
  </si>
  <si>
    <t>Основное мероприятие "Обеспечение выполнения переданных государственных полномочий"</t>
  </si>
  <si>
    <t>01 3 10 2С050</t>
  </si>
  <si>
    <t>01 3 10 2К080</t>
  </si>
  <si>
    <t>Обеспечение хранения, комплектования, учет и использование архивных документов государственной части архивного фонда Пермского края</t>
  </si>
  <si>
    <t>01 3 10 2П040</t>
  </si>
  <si>
    <t>Составление протоколов об административных правонарушениях</t>
  </si>
  <si>
    <t>01 3 10 2П060</t>
  </si>
  <si>
    <t>Осуществление полномочий по созданию и организации деятельности административных комиссий</t>
  </si>
  <si>
    <t>01 3 10 2У110</t>
  </si>
  <si>
    <t>01 3 10 2Т060</t>
  </si>
  <si>
    <t>01 3 10 51200</t>
  </si>
  <si>
    <t>01 3 10 59300</t>
  </si>
  <si>
    <t>01 3 10 51180</t>
  </si>
  <si>
    <t>Осуществление первичного воинского учета на территориях, где отсутствуют военные комиссариаты</t>
  </si>
  <si>
    <t>02 0 00 00000</t>
  </si>
  <si>
    <t>Муниципальная программа "Развитие  образования Юсьвинского муниципального округа Пермского края"</t>
  </si>
  <si>
    <t>02 1 00 00000</t>
  </si>
  <si>
    <t>Подпрограмма "Дошкольное образование"</t>
  </si>
  <si>
    <t xml:space="preserve"> 02 1 10 00000</t>
  </si>
  <si>
    <t>Основное мероприятие "Оказание услуг по присмотру и уходу, реализации основных общеобразовательных программ дошкольного образования"</t>
  </si>
  <si>
    <t>02 1 10 00150</t>
  </si>
  <si>
    <t>Оказание услуг дошкольного образования в рамках полномочий Юсьвинского муниципального округа Пермского края</t>
  </si>
  <si>
    <t>600</t>
  </si>
  <si>
    <t>Предоставление субсидий бюджетным, автономным учреждениям и иным некоммерческим организациям</t>
  </si>
  <si>
    <t>02 1 10 2Н021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</si>
  <si>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</si>
  <si>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02 1 10 2Н022</t>
  </si>
  <si>
    <t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</si>
  <si>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>02 1 10 4Н010</t>
  </si>
  <si>
    <t>Обеспечение бесплатного проезда обучающихся до места обучения и обратно</t>
  </si>
  <si>
    <t>02 1 20 00000</t>
  </si>
  <si>
    <t>Основное мероприятие "Содействие обновлению содержания образования и модернизации образовательного процесса в дошкольных образовательных учреждениях"</t>
  </si>
  <si>
    <t>02 1 20 4Н015</t>
  </si>
  <si>
    <t>Формирование развивающей  предметно-познавательной среды</t>
  </si>
  <si>
    <t>02 2 00 00000</t>
  </si>
  <si>
    <t>Подпрограмма "Общее (начальное, основное, среднее) образование"</t>
  </si>
  <si>
    <t xml:space="preserve">02 2 10 00000 </t>
  </si>
  <si>
    <t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</si>
  <si>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>02 2 10 00150</t>
  </si>
  <si>
    <t>Оказание услуг в сфере общего образования в рамках полномочий Юсьвинского муниципального округа Пермского края</t>
  </si>
  <si>
    <t>02 2 10 2Н020</t>
  </si>
  <si>
    <t>Расходы за счет единой субвенции на выполнение отдельных государственных полномочий в сфере образования, в том числе</t>
  </si>
  <si>
    <t>02 2 10 2Н021</t>
  </si>
  <si>
    <t>02 2 10 SH040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</si>
  <si>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</si>
  <si>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>в том числе за счет средств бюджета Пермского края</t>
  </si>
  <si>
    <t xml:space="preserve">в том числе за счет средств местного  бюджета </t>
  </si>
  <si>
    <t>в том числе за счет средств федерального бюджета</t>
  </si>
  <si>
    <t>02 2 20 00000</t>
  </si>
  <si>
    <t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</si>
  <si>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>02 2 20 4Н010</t>
  </si>
  <si>
    <t>Обеспечение бесплатного проезда  обучающихся до места обучения и обратно</t>
  </si>
  <si>
    <t>02 2 20 4Н020</t>
  </si>
  <si>
    <t>Обеспечение бесплатным питанием обучающихся с ограниченными возможностями здоровья в образовательных учреждениях</t>
  </si>
  <si>
    <t>02 2 20 4Н030</t>
  </si>
  <si>
    <t>Обеспечение доступности качественного образования учащимся общеобразовательных учреждений из отдаленных населенных пунктов округа</t>
  </si>
  <si>
    <t>02 2 20 4Н040</t>
  </si>
  <si>
    <t>Организация подвоза питания для обучающихся  (воспитанников) структурных подразделений образовательных учреждений</t>
  </si>
  <si>
    <t>02 2 20 2Н025</t>
  </si>
  <si>
    <t>02 2 20 2Н026</t>
  </si>
  <si>
    <t>в том числе за счет краевого бюджета</t>
  </si>
  <si>
    <t>02 3 00 00000</t>
  </si>
  <si>
    <t>Подпрограмма "Дополнительное образование и воспитание детей"</t>
  </si>
  <si>
    <t>02 3 10 00000</t>
  </si>
  <si>
    <t>Основное мероприятие "Оказание услуг по реализации дополнительных образовательных программ"</t>
  </si>
  <si>
    <t>02 3 10 00150</t>
  </si>
  <si>
    <t>Предоставление государственных гарантий на дополнительное образование детей неспортивной направленности</t>
  </si>
  <si>
    <t>02 3 10 00155</t>
  </si>
  <si>
    <t>Предоставление дополнительного образования детям в области физкультурно-спортивной  направленности</t>
  </si>
  <si>
    <t>02 3 10 4Н050</t>
  </si>
  <si>
    <t>Мероприятия, направленные на поддержку и развитие одаренных детей</t>
  </si>
  <si>
    <t>02 3 10 4Н060</t>
  </si>
  <si>
    <t>Обеспечение деятельности психолого-медико педагогической комиссии</t>
  </si>
  <si>
    <t>02 3  10 4Н065</t>
  </si>
  <si>
    <t>Организация деятельности муниципальной службы примирения</t>
  </si>
  <si>
    <t>02 4 00 00000</t>
  </si>
  <si>
    <t>Подпрограмма "Развитие системы отдыха, оздоровления и занятости детей"</t>
  </si>
  <si>
    <t>02 4 10 00000</t>
  </si>
  <si>
    <t>Основное мероприятие "Организация оздоровительной кампании в каникулярный период"</t>
  </si>
  <si>
    <t>02 4 10 4Н080</t>
  </si>
  <si>
    <t>Организация оздоровления и отдыха детей за счет полномочий Юсьвинского муниципального округа Пермского края</t>
  </si>
  <si>
    <t>02 4 10 2С140</t>
  </si>
  <si>
    <t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</si>
  <si>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>02 5 00 00000</t>
  </si>
  <si>
    <t>Подпрограмма "Кадровая политика"</t>
  </si>
  <si>
    <t>02 5 20 00000</t>
  </si>
  <si>
    <t>Основное мероприятие "Мероприятия, обеспечивающие кадровую политику в сфере образования"</t>
  </si>
  <si>
    <t>02 5 20 4Н090</t>
  </si>
  <si>
    <t>Мероприятия, обеспечивающие кадровую политику в сфере образования</t>
  </si>
  <si>
    <t>02 5 20 4Н095</t>
  </si>
  <si>
    <t>Проведение и участие в семинарах, конференциях, форумах, конкурсах по обмену опытом с участием педагогических работников</t>
  </si>
  <si>
    <t>02 5 30 00000</t>
  </si>
  <si>
    <t>Основное мероприятие "Предоставление социальных гарантий и льгот педагогическим работникам образовательных учреждений"</t>
  </si>
  <si>
    <t>02 5 30 2Н024</t>
  </si>
  <si>
    <t>02 5 30 2С170</t>
  </si>
  <si>
    <t>02 5 30 SС240</t>
  </si>
  <si>
    <t>Обеспечение работников муниципальных учреждений путевками на санаторно-курортное лечение и оздоровление</t>
  </si>
  <si>
    <t>02 6 00 00000</t>
  </si>
  <si>
    <t>Подпрограмма "Приведение образовательных организаций в нормативное состояние"</t>
  </si>
  <si>
    <t>02  6 10 00000</t>
  </si>
  <si>
    <t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</si>
  <si>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>02 6 10 SP040</t>
  </si>
  <si>
    <t>Мероприятия по подготовке образовательных учреждений к лицензированию и устранение предписаний надзорных органов</t>
  </si>
  <si>
    <t>в том числе за счет бюджета Пермского края</t>
  </si>
  <si>
    <t>в том числе за счет местного бюджета</t>
  </si>
  <si>
    <t>02 7 00 00000</t>
  </si>
  <si>
    <t>Подпрограмма "Реализация государственной политики в сфере образования"</t>
  </si>
  <si>
    <t>02 7 10 00000</t>
  </si>
  <si>
    <t>Основное мероприятие "Развитие системы этнокультурного образования"</t>
  </si>
  <si>
    <t>02 7 10 4Н210</t>
  </si>
  <si>
    <t>Проведение традиционных народных праздников, массовых мероприятий, направленных на сохранение и развитие коми-пермяцкой культуры</t>
  </si>
  <si>
    <t>03 0 00 00000</t>
  </si>
  <si>
    <t>Муниципальная программа "Улучшение качества жизни населения Юсьвинского муниципального округа Пермского края"</t>
  </si>
  <si>
    <t>03 1 00 00000</t>
  </si>
  <si>
    <t>03 2 00 00000</t>
  </si>
  <si>
    <t>03 2 10 00000</t>
  </si>
  <si>
    <t>03 2 10 4КЖ20</t>
  </si>
  <si>
    <t>Организация и проведение общественно-значимых мероприятий с участием инвалидов и участие в окружных и краевых мероприятиях</t>
  </si>
  <si>
    <t>03 3 00 00000</t>
  </si>
  <si>
    <t>Подпрограмма "Создание условий для формирования здорового образа жизни"</t>
  </si>
  <si>
    <t>03 3 10 00000</t>
  </si>
  <si>
    <t>Основное мероприятие "Мероприятия, направленные на формирование здорового  образа жизни"</t>
  </si>
  <si>
    <t>03 3 10 4КЖ40</t>
  </si>
  <si>
    <t>Организация и проведение мероприятий по пропаганде здорового образа жизни и профилактике вредных привычек</t>
  </si>
  <si>
    <t>04 0 00 00000</t>
  </si>
  <si>
    <t>Муниципальная программа "Улучшение жилищных условий граждан, проживающих в Юсьвинском муниципальном округе Пермского края"</t>
  </si>
  <si>
    <t>04 0 10 00000</t>
  </si>
  <si>
    <t>Основное мероприятие  "Обеспечение жильем молодых семей"</t>
  </si>
  <si>
    <t>04 0 10 2С020</t>
  </si>
  <si>
    <t>04 0 10 L4970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</si>
  <si>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</si>
  <si>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 том числе за счет федерального бюджета</t>
  </si>
  <si>
    <t>04 0 20 00000</t>
  </si>
  <si>
    <t>Основное мероприятие "Обеспечение жильем отдельных категорий граждан, установленных законодательством"</t>
  </si>
  <si>
    <t>04 0 20 2С190</t>
  </si>
  <si>
    <t xml:space="preserve">Обеспечение жилыми помещениями реабилитированных лиц, имеющих инвалидность или являющимся пенсионерами, и проживающим совместно членов их семей </t>
  </si>
  <si>
    <t>04 0 20 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</si>
  <si>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</si>
  <si>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04 0 30 00000</t>
  </si>
  <si>
    <t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</si>
  <si>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>04 0 30 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</si>
  <si>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</si>
  <si>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04 0 30 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</si>
  <si>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их числа детей-сирот и детей, оставшихся без попечения родителей, по договорам найма специализированных жилых помещений</t>
  </si>
  <si>
    <t>400</t>
  </si>
  <si>
    <t>Капитальные вложения в объекты недвижимого имущества государственной (муниципальной) собственности</t>
  </si>
  <si>
    <t>04 0 30 2С090</t>
  </si>
  <si>
    <t>05 0 00 00000</t>
  </si>
  <si>
    <t>Основное мероприятие "Оценка недвижимости, признание прав и регулирование отношений по  муниципальной собственности"</t>
  </si>
  <si>
    <t>за счет средств краевого бюджета</t>
  </si>
  <si>
    <t>за счет местного бюджета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</si>
  <si>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</t>
  </si>
  <si>
    <t xml:space="preserve">06 0 00 00000 </t>
  </si>
  <si>
    <t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</si>
  <si>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06 1 00 00000  </t>
  </si>
  <si>
    <t>Подпрограмма "Сохранение и развитие культурного потенциала Юсьвинского муниципального округа Пермского края"</t>
  </si>
  <si>
    <t xml:space="preserve">06 1 10 00000 </t>
  </si>
  <si>
    <t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</si>
  <si>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06 1 10 00150 </t>
  </si>
  <si>
    <t>Финансовое обеспечение выполнения муниципального задания на оказание муниципальных услуг (выполнение работ)</t>
  </si>
  <si>
    <t>06 1 20 00000</t>
  </si>
  <si>
    <t>06 1 20 00150</t>
  </si>
  <si>
    <t>06 1 20 4К010</t>
  </si>
  <si>
    <t xml:space="preserve">Комплектование книжных фондов муниципальных общедоступных  библиотек </t>
  </si>
  <si>
    <t>06 1 30 00000</t>
  </si>
  <si>
    <t>06 1 30 00150</t>
  </si>
  <si>
    <t>06 1 40 00000</t>
  </si>
  <si>
    <t>Основное мероприятие "Предоставление дополнительного образования детям в области искусства"</t>
  </si>
  <si>
    <t>06 1 40 00150</t>
  </si>
  <si>
    <t>06 1 50 00000</t>
  </si>
  <si>
    <t>Основное мероприятие "Организация и проведение социально- значимых мероприятий в сфере искусства и культуры"</t>
  </si>
  <si>
    <t>06 1 50 4К020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</si>
  <si>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</si>
  <si>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>06 1 50 4К030</t>
  </si>
  <si>
    <t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</si>
  <si>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>06 1 60 00000</t>
  </si>
  <si>
    <t>Основное мероприятие "Кадровая политика"</t>
  </si>
  <si>
    <t xml:space="preserve">06 1 60 4К060 </t>
  </si>
  <si>
    <t xml:space="preserve"> Мероприятия (участие в мероприятиях) по повышению квалификации и переподготовке кадров специалистов учреждений культуры</t>
  </si>
  <si>
    <t xml:space="preserve">06 1 60 4К070 </t>
  </si>
  <si>
    <t>Организация и проведение мероприятий, посвященных профессиональным праздникам в сфере культуры и искусства</t>
  </si>
  <si>
    <t>06 1  70 00000</t>
  </si>
  <si>
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</si>
  <si>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>06 1 70 SР040</t>
  </si>
  <si>
    <t>Подготовка учреждений культуры к зимнему отопительному сезону в рамках 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</si>
  <si>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06 2 00 00000</t>
  </si>
  <si>
    <t>Подпрограмма "Молодежная политика"</t>
  </si>
  <si>
    <t>06 2 10 00000</t>
  </si>
  <si>
    <t>Основное мероприятие "Организация и проведение мероприятий среди молодежи"</t>
  </si>
  <si>
    <t xml:space="preserve">06 2 10 4К130 </t>
  </si>
  <si>
    <t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</si>
  <si>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>06 3 00 00000</t>
  </si>
  <si>
    <t>Подпрограмма "Информационная  политика"</t>
  </si>
  <si>
    <t>06 3 10 00000</t>
  </si>
  <si>
    <t xml:space="preserve">06 3 10 4К140 </t>
  </si>
  <si>
    <t>Создание условий для развития печатного средства массовой информации – газеты «Юсьвинские вести» и его доведение до жителей Юсьвинского муниципального округа Пермского края</t>
  </si>
  <si>
    <t>07 0 00 00000</t>
  </si>
  <si>
    <t>Муниципальная программа "Развитие физической культуры и спорта в  Юсьвинском муниципальном округе Пермского края"</t>
  </si>
  <si>
    <t>07 0 10 00000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</si>
  <si>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</si>
  <si>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 xml:space="preserve">07 0 10 4Ф010 </t>
  </si>
  <si>
    <t>07 0 20 00000</t>
  </si>
  <si>
    <t>Основное мероприятие "Развитие и укрепление материально-технической базы объектов спорта на территории Юсьвинского муниципального округа Пермского края"</t>
  </si>
  <si>
    <t>07 0 20  SФ130</t>
  </si>
  <si>
    <t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</t>
  </si>
  <si>
    <t xml:space="preserve">08 0 00 00000 </t>
  </si>
  <si>
    <t>08 1  00 00000</t>
  </si>
  <si>
    <t>08 1 10 00000</t>
  </si>
  <si>
    <t>08 1 10 4П010</t>
  </si>
  <si>
    <t>08 1 10 4П020</t>
  </si>
  <si>
    <t xml:space="preserve">08 2 00 00000 </t>
  </si>
  <si>
    <t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</si>
  <si>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>08 2 20 00000</t>
  </si>
  <si>
    <t>за счет краевого бюджета</t>
  </si>
  <si>
    <t>08 2 20 SП020</t>
  </si>
  <si>
    <t>08 2 20 4П050</t>
  </si>
  <si>
    <t>08 2 20 4П080</t>
  </si>
  <si>
    <t>09 0 00 00000</t>
  </si>
  <si>
    <t>10 0 00 00000</t>
  </si>
  <si>
    <t>Муниципальная программа "Территориальное развитие Юсьвинского муниципального округа Пермского края"</t>
  </si>
  <si>
    <t>10 1 00 00000</t>
  </si>
  <si>
    <t>Подпрограмма "Комплексное  развитие сельских территорий"</t>
  </si>
  <si>
    <t>10 1 10 00000</t>
  </si>
  <si>
    <t>Основное мероприятие "Создание условий для обеспечения доступным и комфортным жильем сельского населения, развитие инфраструктуры на сельских территориях, содействие занятости сельского населения"</t>
  </si>
  <si>
    <t>за счет федерального бюджета</t>
  </si>
  <si>
    <t>за счет средств местного бюджета</t>
  </si>
  <si>
    <t>10 2 00 00000</t>
  </si>
  <si>
    <t>Подпрограмма "Благоустройство территории  Юсьвинского муниципального округа Пермского края"</t>
  </si>
  <si>
    <t>10 2 10 00000</t>
  </si>
  <si>
    <t>Основное мероприятие "Развитие территориального общественного самоуправления (ТОС) на  территории Юсьвинского муниципального округа"</t>
  </si>
  <si>
    <t>10 2 10 4М010</t>
  </si>
  <si>
    <t>10 2 20 00000</t>
  </si>
  <si>
    <t>Основное мероприятие "Благоустройство территории Юсьвинского муниципального округа Пермского края"</t>
  </si>
  <si>
    <t>10 2 20 SP181</t>
  </si>
  <si>
    <t>Ремонт и устройство детских, спортивных, спортивно-игровых площадок, устройство, восстановление территорий общего пользования (парков, скверов)</t>
  </si>
  <si>
    <t>10 2 30 00000</t>
  </si>
  <si>
    <t>Основное мероприятие "Мероприятия по охране окружающей среды"</t>
  </si>
  <si>
    <t xml:space="preserve">10 2 30 4М035 </t>
  </si>
  <si>
    <t>Комплекс мероприятий по закрытию и ликвидации свалок ТКО</t>
  </si>
  <si>
    <t xml:space="preserve">10 2 30 4М036 </t>
  </si>
  <si>
    <t>Организация зон санитарной охраны водозаборных скважин</t>
  </si>
  <si>
    <t>10 2 30 4М037</t>
  </si>
  <si>
    <t>Мероприятия по организации экологического воспитания и формирования экологической культуры</t>
  </si>
  <si>
    <t>10 2 30 4М038</t>
  </si>
  <si>
    <t>Обустройство мест (площадок) накопления твердых коммунальных отходов</t>
  </si>
  <si>
    <t>10 2 40 00000</t>
  </si>
  <si>
    <t>Основное мероприятие "Прочие мероприятия в области благоустройства (окашивание,кронирование деревьев, содержание мест (площадок) накопления ТКО и др.)</t>
  </si>
  <si>
    <t>10 2 40 00190</t>
  </si>
  <si>
    <t>Расходы на содержание  муниципального казенного учреждения «Единый центр  благоустройства»</t>
  </si>
  <si>
    <t>10 3 00 00000</t>
  </si>
  <si>
    <t xml:space="preserve"> Подпрограмма "Развитие коммунальной инфраструктуры Юсьвинского муниципального округа Пермского края" </t>
  </si>
  <si>
    <t>10 3 10 00000</t>
  </si>
  <si>
    <t>10 4 00 00000</t>
  </si>
  <si>
    <t>Подпрограмма  "Формирование комфортной городской среды на территории Юсьвинского муниципального округа Пермского края"</t>
  </si>
  <si>
    <t>10 4 F2 00000</t>
  </si>
  <si>
    <t xml:space="preserve"> Основное мероприятие "Реализация федерального проекта "Формирование комфортной городской среды"</t>
  </si>
  <si>
    <t>10 4 F2 55550</t>
  </si>
  <si>
    <t>11 0 00 00000</t>
  </si>
  <si>
    <t>Муниципальная программа "Развитие транспортной системы Юсьвинского муниципального округа Пермского края"</t>
  </si>
  <si>
    <t>11 1 00 00000</t>
  </si>
  <si>
    <t>Подпрограмма "Развитие и совершенствование автомобильных дорог Юсьвинского муниципального округа Пермского края"</t>
  </si>
  <si>
    <t>11 1 10 00000</t>
  </si>
  <si>
    <t xml:space="preserve"> Основное мероприятие "Паспортизация муниципальных дорог"</t>
  </si>
  <si>
    <t>11 1 10 4Д010</t>
  </si>
  <si>
    <t>Паспортизация муниципальных дорог общего пользования</t>
  </si>
  <si>
    <t>11 1 40 00000</t>
  </si>
  <si>
    <t>Основное мероприятие "Ремонт муниципальных дорог и искусственных дорожных сооружений"</t>
  </si>
  <si>
    <t>11 1 40 SТ040</t>
  </si>
  <si>
    <t xml:space="preserve">Мероприятия по текущему ремонту дорог </t>
  </si>
  <si>
    <t>11 1 40 4Д030</t>
  </si>
  <si>
    <t>Мероприятия по  восстановлению  мостов и труб</t>
  </si>
  <si>
    <t xml:space="preserve">11 1 50 00000 </t>
  </si>
  <si>
    <t>Основное мероприятие "Содержание муниципальных дорог"</t>
  </si>
  <si>
    <t>11 1 50 4Д040</t>
  </si>
  <si>
    <t>11 2 00 00000</t>
  </si>
  <si>
    <t xml:space="preserve"> Подпрограмма "Развитие автомобильного транспорта Юсьвинского муниципального округа Пермского края"</t>
  </si>
  <si>
    <t>11 2 10 00000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</si>
  <si>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</si>
  <si>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>Организация пассажирских перевозок на территории Юсьвинского муниципального округа Пермского края</t>
  </si>
  <si>
    <t>11 3 00 00000</t>
  </si>
  <si>
    <t>Подпрограмма "Повышение безопасности  дорожного движения на автомобильных дорогах Юсьвинского муниципального округа Пермского края"</t>
  </si>
  <si>
    <t>11 3 10 00000</t>
  </si>
  <si>
    <t>Основное мероприятие "Ликвидация очагов аварийности на улично-дорожной сети и участках автомобильных дорог муниципального значения"</t>
  </si>
  <si>
    <t>11 3 10 4Д060</t>
  </si>
  <si>
    <t>Мероприятия по замене  и установке  барьерных ограждений, автобусных остановок, недостающих дорожных знаков, информационных щитов, светофоров</t>
  </si>
  <si>
    <t>12 0 00 00000</t>
  </si>
  <si>
    <t>Муниципальная программа "Развитие сельского хозяйства в Юсьвинском муниципальном округе Пермского края"</t>
  </si>
  <si>
    <t>12 0 20 00000</t>
  </si>
  <si>
    <t>Основное мероприятие "Поддержка и развитие малых форм хозяйствования"</t>
  </si>
  <si>
    <t>12 0 20 4С020</t>
  </si>
  <si>
    <t>Основное мероприятие "Поддержка кадрового потенциала"</t>
  </si>
  <si>
    <t>Проведение мероприятия, посвященного Дню работников сельского хозяйства и перерабатывающей промышленности</t>
  </si>
  <si>
    <t>Проведение мероприятий по профориентации школьников</t>
  </si>
  <si>
    <t>Проведение отраслевых семинаров со специалистами сельхозпредприятий</t>
  </si>
  <si>
    <t>13 0 00 00000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</si>
  <si>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</si>
  <si>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13 0 10 00000</t>
  </si>
  <si>
    <t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</si>
  <si>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>13 0 10 4Ч010</t>
  </si>
  <si>
    <t>13 0 10 4Ч020</t>
  </si>
  <si>
    <t>13 0 10 00170</t>
  </si>
  <si>
    <t>13 0 20 00000</t>
  </si>
  <si>
    <t>Основное мероприятие "Обеспечение  пожарной безопасности на территории Юсьвинского муниципального округа Пермского края"</t>
  </si>
  <si>
    <t>13 0 20 4Ч030</t>
  </si>
  <si>
    <t xml:space="preserve"> Мероприятия по обеспечению первичными  мерами пожарной безопасности</t>
  </si>
  <si>
    <t>13 0 20 4Ч040</t>
  </si>
  <si>
    <t xml:space="preserve"> Мероприятия по противопожарному водоснабжению Юсьвинского муниципального округа Пермского края</t>
  </si>
  <si>
    <t>13 0 20 4Ч050</t>
  </si>
  <si>
    <t>Мероприятия по предупреждению пожаров в жилых помещениях, находящихся в муниципальной собственности</t>
  </si>
  <si>
    <t>13 0 20 4Ч055</t>
  </si>
  <si>
    <t>Обустройство пожарных водоемов, пожарных гидрантов в населенных пунктах муниципального округа</t>
  </si>
  <si>
    <t>13 0 20 00180</t>
  </si>
  <si>
    <t>Обеспечение содержания добровольной пожарной охраны</t>
  </si>
  <si>
    <t>13 0 30 00000</t>
  </si>
  <si>
    <t>13 0 40 00000</t>
  </si>
  <si>
    <t>Основное мероприятие "Оснащенность пунктов временного размещения"</t>
  </si>
  <si>
    <t>Расходы на оснащенность пунктов временного размещения</t>
  </si>
  <si>
    <t>14 0 00 00000</t>
  </si>
  <si>
    <t>Муниципальная адресная программа "Переселение граждан и снос ветхих (аварийных) домов на территории Юсьвинского муниципального округа Пермского края"</t>
  </si>
  <si>
    <t>14 2 00 00000</t>
  </si>
  <si>
    <t>Подпрограмма  «Переселение граждан и снос ветхих (аварийных) домов, признанных аварийными после 1 января 2017 года на территории Юсьвинского муниципального округа Пермского края»</t>
  </si>
  <si>
    <t>14 2 F3 67484</t>
  </si>
  <si>
    <t>Основное мероприятие «Переселение граждан из аварийного жилищного фонда признанного аварийным после 1 января 2017 года на территории Юсьвинского муниципального округа Пермского края»</t>
  </si>
  <si>
    <t>15 0 00 00000</t>
  </si>
  <si>
    <t>15 0 10 00000</t>
  </si>
  <si>
    <t>Основное мероприятие «Управление земельными ресурсами»</t>
  </si>
  <si>
    <t>15 0 20 00000</t>
  </si>
  <si>
    <t>Совершенствование документов территориального планирования, документов градостроительного зонирования, утверждение проектов планировок территорий</t>
  </si>
  <si>
    <t>16 0 00 00000</t>
  </si>
  <si>
    <t>Основное мероприятие «Предотвращение распространения и уничтожение борщевика Сосновского в Юсьвинском муниципальном округе Пермского края»</t>
  </si>
  <si>
    <t>Закупка товаров, работ и услуг для государственных (муниципальных) нужд</t>
  </si>
  <si>
    <t xml:space="preserve">90 0 00 00000 </t>
  </si>
  <si>
    <t xml:space="preserve">Непрограммные мероприятия  </t>
  </si>
  <si>
    <t xml:space="preserve">91 0 00 00000 </t>
  </si>
  <si>
    <t>Обеспечение деятельности органов местного самоуправления Юсьвинского муниципального округа</t>
  </si>
  <si>
    <t xml:space="preserve">91 0 00 00021  </t>
  </si>
  <si>
    <t xml:space="preserve"> Депутаты Думы Юсьвинского муниципального округа Пермского края </t>
  </si>
  <si>
    <t xml:space="preserve">91 0 00 00031 </t>
  </si>
  <si>
    <t>Расходы на обеспечение деятельности Аппарата  Думы Юсьвинского муниципального округа Пермского края</t>
  </si>
  <si>
    <t>91 0 00 00070</t>
  </si>
  <si>
    <t>Повышение квалификации, переподготовка кадров</t>
  </si>
  <si>
    <t>92 0 00 00000</t>
  </si>
  <si>
    <t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</si>
  <si>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>92 0 00 00200</t>
  </si>
  <si>
    <t>Обеспечение деятельности МКУ "Управление дорожного хозяйства и капитального строительства"</t>
  </si>
  <si>
    <t>92 0 00 00210</t>
  </si>
  <si>
    <t>Расходы на обеспечение деятельности  муниципального казенного учреждения «Единый учетный центр»</t>
  </si>
  <si>
    <t>92 0 00 2Н028</t>
  </si>
  <si>
    <t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</si>
  <si>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>92 0 00 00220</t>
  </si>
  <si>
    <t xml:space="preserve"> Обеспечение деятельности  муниципального казенного учреждения «Единый сервисный центр» </t>
  </si>
  <si>
    <t>92 0 00 00221</t>
  </si>
  <si>
    <t>Подготовка котельных к отопительному сезону</t>
  </si>
  <si>
    <t>92 0 00 2У090</t>
  </si>
  <si>
    <t>Мероприятия при осуществлении деятельности по обращению с животными без владельцев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</si>
  <si>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</si>
  <si>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92 0 00 00777</t>
  </si>
  <si>
    <t>92 0 00 00230</t>
  </si>
  <si>
    <t>Исполнение решений судов, вступивших в законную силу, и оплата государственной пошлины</t>
  </si>
  <si>
    <t>92 0 00 00260</t>
  </si>
  <si>
    <t>Представительские расходы и иные расходы, связанные с представительской деятельностью органов местного самоуправления</t>
  </si>
  <si>
    <t>92 0 00 00270</t>
  </si>
  <si>
    <t xml:space="preserve">Расходы на уплату членского взноса в Совет муниципальных образований </t>
  </si>
  <si>
    <t>Устранение аварий на коммунальных системах Юсьвинского муниципального округа Пермского края</t>
  </si>
  <si>
    <t>92 0 00 SР040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</si>
  <si>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</si>
  <si>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Итого расходов:</t>
  </si>
  <si>
    <t>Основное мероприятие "Сохранение и развитие библиотечного дела"</t>
  </si>
  <si>
    <t>Основное мероприятие "Сохранение, пополнение, популяризация музейного фонда и развития музеев"</t>
  </si>
  <si>
    <t>Всего</t>
  </si>
  <si>
    <t>Муниципальная программа "Реализация мероприятий по предотвращению распространения и уничтожения борщевика Сосновского в Юсьвинском муниципальном округе Пермского края"</t>
  </si>
  <si>
    <t xml:space="preserve">Код классификации источников внутреннего финансирования дефицита </t>
  </si>
  <si>
    <t xml:space="preserve">Наименование кода классификации источников внутреннего финансирования дефицита 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</si>
  <si>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</si>
  <si>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</si>
  <si>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</si>
  <si>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</si>
  <si>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</si>
  <si>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</si>
  <si>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</si>
  <si>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</si>
  <si>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</si>
  <si>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</si>
  <si>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</si>
  <si>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</si>
  <si>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</si>
  <si>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</si>
  <si>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</si>
  <si>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</si>
  <si>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11 2 10 4Д051</t>
  </si>
  <si>
    <t>Реализация мероприятий по переселению граждан из аварийного жилищного фонда, признанного аварийным после 1 января 2017 года на территории Юсьвинского муниципального округа Пермского края</t>
  </si>
  <si>
    <t>14 2 F3 00000</t>
  </si>
  <si>
    <t>16 0 10 00000</t>
  </si>
  <si>
    <t>Содержание муниципальных дорог</t>
  </si>
  <si>
    <t>Изготовление и распространение наглядной печатной продукции, аудиовизовой продукции, наружной рекламы, направленных на профилактику распространения терроризма и экстремизма</t>
  </si>
  <si>
    <t>Организация деятельности  народной дружины, а также организация и проведение рейдов и других профилактических мероприятий, в т.ч. с несовершеннолетними</t>
  </si>
  <si>
    <t>Основное мероприятие "Информирование населения округа о политических, экономических, социальных, культурных и иных аспектах общественной жизни Юсьвинского муниципального округа Пермского края"</t>
  </si>
  <si>
    <t xml:space="preserve"> Проведение сельскохозяйственных ярмарок</t>
  </si>
  <si>
    <t>Проведение мероприятий  пропагандирующих соблюдение мер пожарной безопасности и безопасности на воде на территории населенных пунктов Юсьвинского муниципального округа Пермского края</t>
  </si>
  <si>
    <t>Проведение мероприятий по содержанию имущества муниципальной казны (в т.ч.оценка, проведение экспертизы, паспортизация объектов) и регистрации объектов недвижимости</t>
  </si>
  <si>
    <t>02 2 20 53030</t>
  </si>
  <si>
    <t>02 2 20 L3040</t>
  </si>
  <si>
    <t>10 3 10 SЖ830</t>
  </si>
  <si>
    <t>10 3 10 SЖ840</t>
  </si>
  <si>
    <t>Разработка и подготовка проектно-сметной документации по строительству и реконструкции (модернизации) очистных сооружений</t>
  </si>
  <si>
    <t xml:space="preserve"> за счет местного бюджета</t>
  </si>
  <si>
    <t>Проведение технического аудита состояния очистных сооружений и сетей водоотведения</t>
  </si>
  <si>
    <t>92 0 00 2У100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</si>
  <si>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</si>
  <si>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</si>
  <si>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Администрирование отдельных государственных полномочий по поддержке сельскохозяйственного производства</t>
  </si>
  <si>
    <t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</si>
  <si>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Государственная регистрация актов гражданского состояния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</si>
  <si>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</si>
  <si>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>Подпрограмма "Противодействие идеологии терроризма и экстремизма на территории Юсьвинского муниципального округа Пермского края"</t>
  </si>
  <si>
    <t xml:space="preserve">Обучение членов комиссии по ГО и РСЧС </t>
  </si>
  <si>
    <t xml:space="preserve"> 02 1 10 4Н020</t>
  </si>
  <si>
    <t>Обеспечение музыкальными инструментами, оборудованием и материалами образовательных учреждений в сфере культуры</t>
  </si>
  <si>
    <t>Пермского края</t>
  </si>
  <si>
    <t>10 3 10 4М070</t>
  </si>
  <si>
    <t>15 0 10 SЦ140</t>
  </si>
  <si>
    <t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</si>
  <si>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>Обеспечение жильем молодых семей</t>
  </si>
  <si>
    <t>06 1 70 SК160</t>
  </si>
  <si>
    <t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</si>
  <si>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</si>
  <si>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>Техническое и аварийно-диспетчерское обслуживание распределительных газопроводов</t>
  </si>
  <si>
    <t>10 1 10 L5760</t>
  </si>
  <si>
    <t>Ремонт (обустройство) источников водоснабжения и систем водоснабжения</t>
  </si>
  <si>
    <t>15 0 10 4Г010</t>
  </si>
  <si>
    <t>15 0 20 4Г030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</si>
  <si>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</si>
  <si>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>Подпрограмма "Предупреждение  правонарушений, совершаемых на улице и в общественных местах"</t>
  </si>
  <si>
    <t>Основное мероприятие "Обеспечение общественной безопасности на территории Юсьвинского муниципального округа Пермского края"</t>
  </si>
  <si>
    <t>10 3 30 00000</t>
  </si>
  <si>
    <t>Основное мероприятие "Газификация Юсьвинского муниципального округа"</t>
  </si>
  <si>
    <t>92 0 00 2Н022</t>
  </si>
  <si>
    <t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</si>
  <si>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>Основное мероприятие "Предотвращение условий, способствующих возникновению и распространению идеологии терроризма и экстремизма"</t>
  </si>
  <si>
    <t>Организация обучения  специалистов системы общественной безопасности</t>
  </si>
  <si>
    <t>08 1 10 4П070</t>
  </si>
  <si>
    <t>Организация и проведение мероприятия «Поезд безопасности»</t>
  </si>
  <si>
    <t>11 1 30 00000</t>
  </si>
  <si>
    <t>11 1 30 SТ042</t>
  </si>
  <si>
    <t>Основное мероприятие "Капитальный ремонт муниципальных дорог и искусственных дорожных сооружений"</t>
  </si>
  <si>
    <t>Мероприятия по капитальному ремонту автомобильных дорог</t>
  </si>
  <si>
    <t>10 3 30 4М080</t>
  </si>
  <si>
    <t>16 0 10 SУ200</t>
  </si>
  <si>
    <t>Реализация мероприятий по предотвращению распространения и уничтожения борщевика Сосновского в Юсьвинском муниципальном округе Пермского края</t>
  </si>
  <si>
    <t>Подпрограмма "Формирование позитивного имиджа Юсьвинского муниципального округа Пермского края"</t>
  </si>
  <si>
    <t>Основное мероприятие "Формирование позитивного имиджа Юсьвинского муниципального округа Пермского края"</t>
  </si>
  <si>
    <t>Изготовление символики Юсьвинского муниципального округа Пермского края</t>
  </si>
  <si>
    <t>Изготовление печатной продукции</t>
  </si>
  <si>
    <t>Публикация в средствах массовой информации</t>
  </si>
  <si>
    <t>01 5 00 00000</t>
  </si>
  <si>
    <t>01 5 10 00000</t>
  </si>
  <si>
    <t>01 5 10 4У091</t>
  </si>
  <si>
    <t>01 5 10 4У092</t>
  </si>
  <si>
    <t>01 5 10 4У093</t>
  </si>
  <si>
    <t>10 2 20 4М090</t>
  </si>
  <si>
    <t>Проведение капитального ремонта муниципального жилищного фонда, возмещение затрат нанимателям за капитальный ремонт</t>
  </si>
  <si>
    <t>к решению Думы Юсьвинского муниципального округа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</si>
  <si>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</si>
  <si>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</si>
  <si>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Сумма</t>
  </si>
  <si>
    <t>1</t>
  </si>
  <si>
    <t>2</t>
  </si>
  <si>
    <t xml:space="preserve">1 00 00 000 00 0000 000 </t>
  </si>
  <si>
    <t>НАЛОГОВЫЕ И НЕНАЛОГОВЫЕ ДОХОДЫ</t>
  </si>
  <si>
    <t>Налоговые доходы</t>
  </si>
  <si>
    <t xml:space="preserve">1 01 00 000 00 0000 000 </t>
  </si>
  <si>
    <t>НАЛОГИ НА ПРИБЫЛЬ, ДОХОДЫ</t>
  </si>
  <si>
    <t xml:space="preserve">1 01 02 000 01 0000 110 </t>
  </si>
  <si>
    <t>Налог на доходы физических лиц</t>
  </si>
  <si>
    <t xml:space="preserve">1 01 02 010 01 0000 110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</si>
  <si>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</si>
  <si>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1 01 02 020 01 0000 110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</si>
  <si>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</si>
  <si>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1 01 02 030 01 0000 110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</si>
  <si>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</si>
  <si>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1 01 02 040 01 0000 110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</si>
  <si>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</si>
  <si>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1 03 00 000 00 0000 000 </t>
  </si>
  <si>
    <t>НАЛОГИ НА ТОВАРЫ (РАБОТЫ, УСЛУГИ), РЕАЛИЗУЕМЫЕ НА ТЕРРИТОРИИ РОССИЙСКОЙ ФЕДЕРАЦИИ</t>
  </si>
  <si>
    <t xml:space="preserve">1 03 02 000 01 0000 110 </t>
  </si>
  <si>
    <t>Акцизы по подакцизным товарам (продукции), производимым на территории Российской Федерации</t>
  </si>
  <si>
    <t xml:space="preserve">1 03 02 231 01 0000 110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</si>
  <si>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</si>
  <si>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1 03 02 241 01 0000 110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</si>
  <si>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</si>
  <si>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1 03 02 251 01 0000 110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</si>
  <si>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</si>
  <si>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1 03 02 261 01 0000 110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</si>
  <si>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</si>
  <si>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1 05 00 000 00 0000 000 </t>
  </si>
  <si>
    <t>НАЛОГИ НА СОВОКУПНЫЙ ДОХОД</t>
  </si>
  <si>
    <t xml:space="preserve">1 05 03 000 01 0000 110 </t>
  </si>
  <si>
    <t>Единый сельскохозяйственный налог</t>
  </si>
  <si>
    <t xml:space="preserve">1 05 03 010 01 0000 110 </t>
  </si>
  <si>
    <t xml:space="preserve">1 05 04 000 02 0000 110 </t>
  </si>
  <si>
    <t>Налог, взимаемый в связи с применением патентной системы налогообложения</t>
  </si>
  <si>
    <t xml:space="preserve">1 05 04 060 02 0000 110 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</si>
  <si>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</si>
  <si>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1 06 00 000 00 0000 000 </t>
  </si>
  <si>
    <t>НАЛОГИ НА ИМУЩЕСТВО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</si>
  <si>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</si>
  <si>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</si>
  <si>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1 06 04 000 02 0000 110 </t>
  </si>
  <si>
    <t>Транспортный налог</t>
  </si>
  <si>
    <t xml:space="preserve">1 06 04 011 02 0000 110 </t>
  </si>
  <si>
    <t>Транспортный налог с организаций</t>
  </si>
  <si>
    <t xml:space="preserve">1 06 04 012 02 0000 110 </t>
  </si>
  <si>
    <t>Транспортный налог с физических лиц</t>
  </si>
  <si>
    <t>1 06 06000 00 0000 110</t>
  </si>
  <si>
    <t>Земельный налог</t>
  </si>
  <si>
    <t>1 06 06032 14 0000 110</t>
  </si>
  <si>
    <t>1 06 06042 14 0000 110</t>
  </si>
  <si>
    <t xml:space="preserve">1 08 00 000 00 0000 000 </t>
  </si>
  <si>
    <t>ГОСУДАРСТВЕННАЯ ПОШЛИНА</t>
  </si>
  <si>
    <t xml:space="preserve">1 08 03 000 01 0000 110 </t>
  </si>
  <si>
    <t>Государственная пошлина по делам, рассматриваемым в судах общей юрисдикции, мировыми судьями</t>
  </si>
  <si>
    <t xml:space="preserve">1 08 03 010 01 0000 110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</si>
  <si>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</si>
  <si>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1 08 04 000 01 0000 110 </t>
  </si>
  <si>
    <t xml:space="preserve">1 08 04 020 01 0000 110 </t>
  </si>
  <si>
    <t xml:space="preserve">1 08 07 000 01 0000 110 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</si>
  <si>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</si>
  <si>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1 08 07 179 01 0000 110 </t>
  </si>
  <si>
    <t>Неналоговые доходы</t>
  </si>
  <si>
    <t xml:space="preserve">1 11 00 000 00 0000 000 </t>
  </si>
  <si>
    <t>ДОХОДЫ ОТ ИСПОЛЬЗОВАНИЯ ИМУЩЕСТВА, НАХОДЯЩЕГОСЯ В ГОСУДАРСТВЕННОЙ И МУНИЦИПАЛЬНОЙ СОБСТВЕННОСТИ</t>
  </si>
  <si>
    <t xml:space="preserve">1 11 05 000 00 0000 120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</si>
  <si>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</si>
  <si>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1 11 05 012 14 0000 120 </t>
  </si>
  <si>
    <t xml:space="preserve">1 11 05 024 14 0000 120 </t>
  </si>
  <si>
    <t xml:space="preserve">1 11 05 034 14 0000 120 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</si>
  <si>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</si>
  <si>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1 11 09000 00 0000 120
</t>
  </si>
  <si>
    <t xml:space="preserve">1 11 09 044 14 0000 120 </t>
  </si>
  <si>
    <t xml:space="preserve">1 12 00 000 00 0000 000 </t>
  </si>
  <si>
    <t>ПЛАТЕЖИ ПРИ ПОЛЬЗОВАНИИ ПРИРОДНЫМИ РЕСУРСАМИ</t>
  </si>
  <si>
    <t xml:space="preserve">1 12 01 000 01 0000 120 </t>
  </si>
  <si>
    <t>Плата за негативное воздействие на окружающую среду</t>
  </si>
  <si>
    <t xml:space="preserve">1 12 01 010 01 0000 120 </t>
  </si>
  <si>
    <t>Плата за выбросы загрязняющих веществ в атмосферный воздух стационарными объектами</t>
  </si>
  <si>
    <t xml:space="preserve">1 12 01 030 01 0000 120 </t>
  </si>
  <si>
    <t>Плата за сбросы загрязняющих веществ в водные объекты</t>
  </si>
  <si>
    <t xml:space="preserve">1 12 01 041 01 0000 120 </t>
  </si>
  <si>
    <t>Плата за размещение отходов производства</t>
  </si>
  <si>
    <t xml:space="preserve">1 13 00 000 00 0000 000 </t>
  </si>
  <si>
    <t>ДОХОДЫ ОТ ОКАЗАНИЯ ПЛАТНЫХ УСЛУГ И КОМПЕНСАЦИИ ЗАТРАТ ГОСУДАРСТВА</t>
  </si>
  <si>
    <t xml:space="preserve">1 13 01 000 00 0000 130 </t>
  </si>
  <si>
    <t>Доходы от оказания платных услуг (работ)</t>
  </si>
  <si>
    <t xml:space="preserve">1 13 01 994 14 0000 130 </t>
  </si>
  <si>
    <t>Прочие доходы от оказания платных услуг (работ) получателями средств бюджетов муниципальных округов</t>
  </si>
  <si>
    <t xml:space="preserve">1 13 02 000 00 0000 130 </t>
  </si>
  <si>
    <t>Доходы от компенсации затрат государства</t>
  </si>
  <si>
    <t xml:space="preserve">1 13 02 064 14 0000 130 </t>
  </si>
  <si>
    <t>Доходы, поступающие в порядке возмещения расходов, понесенных в связи с эксплуатацией имущества муниципальных округов</t>
  </si>
  <si>
    <t xml:space="preserve">1 14 00 000 00 0000 000 </t>
  </si>
  <si>
    <t>ДОХОДЫ ОТ ПРОДАЖИ МАТЕРИАЛЬНЫХ И НЕМАТЕРИАЛЬНЫХ АКТИВОВ</t>
  </si>
  <si>
    <t xml:space="preserve">﻿1 14 02000 00 0000 000
</t>
  </si>
  <si>
    <t xml:space="preserve">﻿Доходы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</si>
  <si>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﻿1 14 02043 14 0000 410
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</si>
  <si>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</si>
  <si>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1 14 06 000 00 0000 430 </t>
  </si>
  <si>
    <t>Доходы от продажи земельных участков, находящихся в государственной и муниципальной собственности</t>
  </si>
  <si>
    <t xml:space="preserve">1 14 06 012 14 0000 430 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</si>
  <si>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</si>
  <si>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1 14 06 024 14 0000 430 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</si>
  <si>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</si>
  <si>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1 16 00 000 00 0000 000 </t>
  </si>
  <si>
    <t>ШТРАФЫ, САНКЦИИ, ВОЗМЕЩЕНИЕ УЩЕРБА</t>
  </si>
  <si>
    <t xml:space="preserve">﻿1 16 01000 01 0000 140
</t>
  </si>
  <si>
    <t xml:space="preserve">﻿Административные штрафы, установленные Кодексом Российской Федерации об административных правонарушениях
</t>
  </si>
  <si>
    <t xml:space="preserve">﻿1 16 01053 01 0000 140
</t>
  </si>
  <si>
    <t xml:space="preserve">﻿1 16 01063 01 0000 140
</t>
  </si>
  <si>
    <t xml:space="preserve">﻿1 16 01073 01 0000 140
</t>
  </si>
  <si>
    <t xml:space="preserve">﻿1 16 01083 01 0000 140
</t>
  </si>
  <si>
    <t xml:space="preserve">﻿1 16 01103 01 0000 140
</t>
  </si>
  <si>
    <t xml:space="preserve">﻿1 16 01143 01 0000 140
</t>
  </si>
  <si>
    <t xml:space="preserve">﻿1 16 01153 01 0000 140
</t>
  </si>
  <si>
    <t xml:space="preserve">﻿1 16 01173 01 0000 140
</t>
  </si>
  <si>
    <t xml:space="preserve">﻿1 16 01193 01 0000 140
</t>
  </si>
  <si>
    <t xml:space="preserve">﻿1 16 01203 01 0000 140
</t>
  </si>
  <si>
    <t xml:space="preserve">﻿1 16 01333 01 0000 140
</t>
  </si>
  <si>
    <t xml:space="preserve">2 00 00 000 00 0000 000 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</si>
  <si>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</si>
  <si>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</si>
  <si>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</si>
  <si>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2 02 10 000 00 0000 000 </t>
  </si>
  <si>
    <t xml:space="preserve">2 02 15 001 14 0000 150 </t>
  </si>
  <si>
    <t xml:space="preserve">Дотации бюджетам муниципальных округов на выравнивание бюджетной обеспеченности </t>
  </si>
  <si>
    <t xml:space="preserve">2 02 15 002 14 0000 150 </t>
  </si>
  <si>
    <t>Дотации бюджетам муниципальных округов на поддержку мер по обеспечению сбалансированности бюджетов</t>
  </si>
  <si>
    <t>Дотации на сбалансированность бюджетов муниципальных районов, муниципальных округов, городских округов</t>
  </si>
  <si>
    <t xml:space="preserve">2 02 20 000 00 0000 000 </t>
  </si>
  <si>
    <t>Субсидии бюджетам бюджетной системы Российской Федерации (межбюджетные субсидии)</t>
  </si>
  <si>
    <t>2 02 25 228 14 0000 150</t>
  </si>
  <si>
    <t>Субсидии бюджетам муниципальных округов на оснащение объектов спортивной инфраструктуры спортивно-технологическим оборудованием</t>
  </si>
  <si>
    <t xml:space="preserve">2 02 25 497 00 0000 150 </t>
  </si>
  <si>
    <t>Субсидии бюджетам на реализацию мероприятий по обеспечению жильем молодых семей</t>
  </si>
  <si>
    <t xml:space="preserve">2 02 25 497 14 0000 150 </t>
  </si>
  <si>
    <t>Субсидии бюджетам муниципальных округов на реализацию мероприятий по обеспечению жильем молодых семей</t>
  </si>
  <si>
    <t xml:space="preserve">2 02 25 519 00 0000 150 </t>
  </si>
  <si>
    <t>Субсидия бюджетам на поддержку отрасли культуры</t>
  </si>
  <si>
    <t xml:space="preserve">2 02 25 519 14 0000 150 </t>
  </si>
  <si>
    <t>Субсидия бюджетам муниципальных округов на поддержку отрасли культуры</t>
  </si>
  <si>
    <t>Субсидии на государственную поддержку лучших работников сельских учреждений  культуры</t>
  </si>
  <si>
    <t>Субсидии на государственную поддержку лучших сельских учреждений  культуры</t>
  </si>
  <si>
    <t>2 02 25 555 00 0000 150</t>
  </si>
  <si>
    <t>Субсидии бюджетам на реализацию программ формирования современной городской среды</t>
  </si>
  <si>
    <t>2 02 25 555 14 0000 150</t>
  </si>
  <si>
    <t>Субсидии бюджетам муниципальных округов на реализацию программ формирования современной городской среды</t>
  </si>
  <si>
    <t>﻿2 02 25 576 00 0000 150</t>
  </si>
  <si>
    <t>Субсидии бюджетам на обеспечение комплексного развития сельских территорий</t>
  </si>
  <si>
    <t>﻿2 02 25 576 14 0000 150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</si>
  <si>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</si>
  <si>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образований на реализацию мероприятий, направленных на комплексное развитие сельских территорий (улучшение жилищных условий граждан, проживающих 
на сельских территориях)</t>
  </si>
  <si>
    <t xml:space="preserve">Субсидии бюджетам муниципальных образований на реализацию мероприятий, направленных на комплексное развитие сельских территорий (благоустройство сельских территорий) </t>
  </si>
  <si>
    <t xml:space="preserve">2 02 29 999 14 0000 150 </t>
  </si>
  <si>
    <t>Прочие субсидии бюджетам муниципальных округов</t>
  </si>
  <si>
    <t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</si>
  <si>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Субсидии бюджетам муниципальных образований на обеспечение работников учреждений бюджетной сферы Пермского края путевками на санаторно-курортное лечение и оздоровление</t>
  </si>
  <si>
    <t>Субсидии бюджетам муниципальных образований на проектирование, строительство (реконструкцию), капитальный ремонт и ремонт автомобильных дорог общего пользования местного значения, находящихся на территории Пермского края</t>
  </si>
  <si>
    <t>Субсидии бюджетам муниципальных образований на реализацию программ развития преобразованных муниципальных образований</t>
  </si>
  <si>
    <t>Субсидии бюджетам муниципальныз образований на приведение в нормативное состояние муниципальных помещений, приобретение и установку модульных конструкций, используемых в целях профилактики правонарушений и обеспечения общественной безопасности</t>
  </si>
  <si>
    <t>Субсидии бюджетам муниципальных образований на реализацию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</si>
  <si>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 xml:space="preserve">Субсидии бюджетам муниципальных образований на выплаты материального стимулирования народным дружинникам за участие в охране общественного порядка </t>
  </si>
  <si>
    <t>Субсидия бюджетам муниципальных образований на устройство спортивных площадок и их оснащение</t>
  </si>
  <si>
    <t>Субсидии на разработку проектов межевания территории и проведение комплексных кадастровых работ</t>
  </si>
  <si>
    <t>Субсидии бюджетам муниципальных образований на разработку и подготовку проектно-сметной документации по строительству и реконструкции (модернизации) очистных сооружений</t>
  </si>
  <si>
    <t>Субсидии бюджетам муниципальных образований на проведение технического аудита состояния очистных сооружений и сетей водоотведения</t>
  </si>
  <si>
    <t>Субсидии на снос расселенных жилых домов и нежилых зданий (сооружений), расположенных на территории муниципальных образований Пермского края</t>
  </si>
  <si>
    <t>Субсидии на обеспечение музыкальными инструментами, оборудованием и материалами образовательных учреждений в сфере культуры</t>
  </si>
  <si>
    <t>Субсидии на реализацию мероприятий проекта «Мы выбираем спорт»</t>
  </si>
  <si>
    <t>Субсидии на проведение мероприятия "Пермский край - территория культуры"</t>
  </si>
  <si>
    <t>Субсидии на приобретение контейнеров для сбора (складирования) твердых коммунальных отходов на контейнерных площадках, расположенных на территории Пермского края</t>
  </si>
  <si>
    <t>Субсидии на реализацию по предотвращению распространения и уничтожению борщевика Сосновского в муниципальных образованиях Пермского края</t>
  </si>
  <si>
    <t xml:space="preserve">2 02 30 000 00 0000 150 </t>
  </si>
  <si>
    <t xml:space="preserve">2 02 30 024 14 0000 150 </t>
  </si>
  <si>
    <t xml:space="preserve">﻿Субвенции бюджетам муниципальных округов на выполнение передаваемых полномочий субъектов Российской Федерации
</t>
  </si>
  <si>
    <t>Единая субвенция бюджетам муниципальных образований на выполнение отдельных государственных полномочий в сфере образования</t>
  </si>
  <si>
    <t>Субвенции бюджетам муниципальных образований на образование комиссий по делам несовершеннолетних и защите их прав и организация их деятельности</t>
  </si>
  <si>
    <t>Субвенции бюджетам муниципальных образований на организацию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</si>
  <si>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на мероприятия по организации оздоровления и отдыха детей</t>
  </si>
  <si>
    <t>Субвенции бюджетам муниципальных образований  на 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</si>
  <si>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Субвенции бюджетам муниципальных образований на 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</si>
  <si>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Субвенции бюджетам муниципальных образований на составление протоколов об административных правонарушениях</t>
  </si>
  <si>
    <t>Субвенции бюджетам муниципальных образований на осуществление полномочий по созданию и организации деятельности административных комиссий</t>
  </si>
  <si>
    <t>Субвенции бюджетам муниципальных образований на организацию мероприятий при осуществлении деятельности по обращению с животными без владельцев</t>
  </si>
  <si>
    <t>Субвенции бюджетам муниципальных образований на 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</si>
  <si>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Субвенции бюджетам муниципальных образований на администрирование отдельных государственных полномочий по поддержке сельскохозяйственного производства </t>
  </si>
  <si>
    <t xml:space="preserve">Субвенции бюджетам муниципальных образований на 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 </t>
  </si>
  <si>
    <t xml:space="preserve">2 02 35 082 14 0000 150 </t>
  </si>
  <si>
    <t>Субвенции бюджетам муниципальных образований на 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</si>
  <si>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2 02 35 118 14 0000 150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</si>
  <si>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</si>
  <si>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 xml:space="preserve">2 02 35 120 14 0000 150 </t>
  </si>
  <si>
    <t xml:space="preserve">2 02 35 930 14 0000 150 </t>
  </si>
  <si>
    <t>Субвенции бюджетам муниципальных округов на государственную регистрацию актов гражданского состояния</t>
  </si>
  <si>
    <t xml:space="preserve">2 02 39 999 14 0000 150 </t>
  </si>
  <si>
    <t>Прочие субвенции бюджетам муниципальных округов</t>
  </si>
  <si>
    <t>Субвенции бюджетам муниципальных образований на 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</si>
  <si>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Субвенции бюджетам муниципальных образований на 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</si>
  <si>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 xml:space="preserve">2 02 40 000 00 0000 150 </t>
  </si>
  <si>
    <t xml:space="preserve">2 02 45 303 14 0000 150 </t>
  </si>
  <si>
    <t xml:space="preserve">2 02 49 999 14 0000 150 </t>
  </si>
  <si>
    <t>Прочие межбюджетные трансферты, передаваемые бюджетам муниципальных округов</t>
  </si>
  <si>
    <t>Иные межбюджетные трансферты на организацию занятий физической культурой в образовательных организациях</t>
  </si>
  <si>
    <t>Иные межбюджетные трансферты, передаваемые  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</si>
  <si>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Иные межбюджетные трансферты на обеспечение жильем молодых семей 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</si>
  <si>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</si>
  <si>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</si>
  <si>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ИТОГО ДОХОДОВ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</si>
  <si>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</si>
  <si>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</si>
  <si>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</si>
  <si>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</si>
  <si>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02 6 10 4Н110</t>
  </si>
  <si>
    <t>01 05 02 01 14 0000 510</t>
  </si>
  <si>
    <t>01 05 02 01 14 0000 610</t>
  </si>
  <si>
    <t>10 2 20 4М091</t>
  </si>
  <si>
    <t>04 0 50 00000</t>
  </si>
  <si>
    <t>Основное мероприятие "Переселение граждан из труднодоступных, отдаленных и малочисленных населенных пунктов"</t>
  </si>
  <si>
    <t>04 0 60 00000</t>
  </si>
  <si>
    <t>Основное мероприятие "Снос объектов после расселения"</t>
  </si>
  <si>
    <t xml:space="preserve">Снос объектов после расселения граждан из труднодоступных, отдаленных и малочисленных населенных пунктов Юсьвинского муниципального округа Пермского края </t>
  </si>
  <si>
    <t>04 0 60 4С210</t>
  </si>
  <si>
    <t>05 0 10 00000</t>
  </si>
  <si>
    <t>05 0 10 4И020</t>
  </si>
  <si>
    <t>05 0 10 4И030</t>
  </si>
  <si>
    <t>05 0 10 4И040</t>
  </si>
  <si>
    <t>05 0 10 4И060</t>
  </si>
  <si>
    <t>Размещение уличной социальной рекламы «Твое время», направленной на популяризацию лидеров среди молодежи</t>
  </si>
  <si>
    <t>08 2 20 4П091</t>
  </si>
  <si>
    <t>Проведение комплексных кадастровых работ (разработка проектов межевания)</t>
  </si>
  <si>
    <t>Приобретение металлических стеллажей</t>
  </si>
  <si>
    <t>Формирование земельных участков</t>
  </si>
  <si>
    <t>Организация и проведение мероприятий для детей приоритетных категорий</t>
  </si>
  <si>
    <t>02 3  10 4Н067</t>
  </si>
  <si>
    <t>2024 год</t>
  </si>
  <si>
    <t>﻿1 06 01000 00 0000 110</t>
  </si>
  <si>
    <t>﻿Налог на имущество физических лиц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</si>
  <si>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</si>
  <si>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</si>
  <si>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﻿Государственная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</si>
  <si>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﻿Государственная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</si>
  <si>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﻿Доходы,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</si>
  <si>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</si>
  <si>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﻿Прочие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</si>
  <si>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</si>
  <si>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﻿Административные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</si>
  <si>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</si>
  <si>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</si>
  <si>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</si>
  <si>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</si>
  <si>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</si>
  <si>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</si>
  <si>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</si>
  <si>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</si>
  <si>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</si>
  <si>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﻿Дотации бюджетам бюджетной системы Российской Федерации</t>
  </si>
  <si>
    <t xml:space="preserve">2 02 19 999 14 0000 150 </t>
  </si>
  <si>
    <t>Прочие дотации бюджетам муниципальных округов</t>
  </si>
  <si>
    <t xml:space="preserve">Иные дотации бюджетам муниципальных образований на стимулирование муниципальных образований к росту доходов </t>
  </si>
  <si>
    <t>Не софинансируемые из федерального бюджета</t>
  </si>
  <si>
    <t>Субсидии на оснащение объектов спортивной инфраструктуры спортивно-технологическим оборудованием</t>
  </si>
  <si>
    <t>Субвенции бюджетам бюджетной системы Российской Федерации</t>
  </si>
  <si>
    <t>﻿Иные межбюджетные трансферты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</si>
  <si>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</si>
  <si>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Софинансируемые из федерального бюджета</t>
  </si>
  <si>
    <t>01 1 10 4У011</t>
  </si>
  <si>
    <t>02 4 10 4Н081</t>
  </si>
  <si>
    <t>10 1 20 00000</t>
  </si>
  <si>
    <t>Основное мероприятие «Комплексное развитие сельской агломерации «Юсьвинский муниципальный округ Пермского края»</t>
  </si>
  <si>
    <t>Строительство очистных сооружений в с. Юсьва Пермского края</t>
  </si>
  <si>
    <t>10 4 20 00000</t>
  </si>
  <si>
    <t>10 4 20 SЖ090</t>
  </si>
  <si>
    <t>Мероприятия  по реализации федерального проекта по формированию комфортной городской среды (расходы, не софинансируемые из федерального бюджета)</t>
  </si>
  <si>
    <t xml:space="preserve">Приобретение коммунальной техники </t>
  </si>
  <si>
    <t>Приобретение коммунальной техники (расходы, не софинансируемые из краевого бюджета)</t>
  </si>
  <si>
    <t>01 1 30 4У041</t>
  </si>
  <si>
    <t>02 1 10 4Н020</t>
  </si>
  <si>
    <t>02 3 10 4Н065</t>
  </si>
  <si>
    <t>02 3 10 4Н066</t>
  </si>
  <si>
    <t>02 3 10 4Н067</t>
  </si>
  <si>
    <t>10 1 20 L5760</t>
  </si>
  <si>
    <t>10 2 20 4М092</t>
  </si>
  <si>
    <t xml:space="preserve">10 2 20 4М093 </t>
  </si>
  <si>
    <t>10 3 10 4М073</t>
  </si>
  <si>
    <t>10 3 30 4М081</t>
  </si>
  <si>
    <t xml:space="preserve">12 0 30 00000 </t>
  </si>
  <si>
    <t>12 0 30 4С030</t>
  </si>
  <si>
    <t>12 0 30 4С040</t>
  </si>
  <si>
    <t>12 0 30 4С050</t>
  </si>
  <si>
    <t>13 0 30 4Ч070</t>
  </si>
  <si>
    <t>10 3 10 SP040</t>
  </si>
  <si>
    <t xml:space="preserve">Ремонт объектов коммунальной общественной инфраструктуры муниципального значения </t>
  </si>
  <si>
    <t>Основное мероприятие "Проведение мероприятий по содействию в развитии гражданского общества"</t>
  </si>
  <si>
    <t>03 1 20 00000</t>
  </si>
  <si>
    <t>03 1 20 4КЖ50</t>
  </si>
  <si>
    <t>Предоставление субсидий СО НКО на организацию  и проведение общественно-значимых мероприятий с людьми пожилого возраста</t>
  </si>
  <si>
    <t>05 0 10 4И070</t>
  </si>
  <si>
    <t xml:space="preserve">Обустройство тротуаров в с.Юсьва </t>
  </si>
  <si>
    <t>Предоставление молодым семьям  социальных выплат на приобретение (строительство) жилья в рамках подпрограммы "Социальная поддержка семей и детей. Профилактика социального сиротства и защита прав детей-сирот" государственной программы "Социальная поддержка жителей Пермского края"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</si>
  <si>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Юсьвинского муниципального округа Пермского края в СМИ</t>
  </si>
  <si>
    <t>Резервный фонд администрации Юсьвинского муниципального округа Пермского края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</si>
  <si>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</si>
  <si>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>Расходы на развитие ТОС  на территории Юсьвинского муниципального округа Пермского края (софинансирование, муниципальный конкурс)</t>
  </si>
  <si>
    <t>Ведомство</t>
  </si>
  <si>
    <t>Раздел, подраздел</t>
  </si>
  <si>
    <t>2022год</t>
  </si>
  <si>
    <t>Администрация Юсьвинского муниципального округа Пермского края</t>
  </si>
  <si>
    <t>0100</t>
  </si>
  <si>
    <t>Обеспечение деятельности органов местного самоуправления</t>
  </si>
  <si>
    <t>0102</t>
  </si>
  <si>
    <t>Функционирование высшего должностного лица субъекта Российской Федерации и муниципального образования</t>
  </si>
  <si>
    <t xml:space="preserve">Муниципальные программы Юсьвинского муниципального округа Пермского края </t>
  </si>
  <si>
    <t>0104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</si>
  <si>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</si>
  <si>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Муниципальная программа "Совершенствование муниципального управления в Юсьвинском муниципальном округе"</t>
  </si>
  <si>
    <t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</si>
  <si>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90 0 00 00000</t>
  </si>
  <si>
    <t>0105</t>
  </si>
  <si>
    <t>Судебная система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</si>
  <si>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</si>
  <si>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 xml:space="preserve"> Основное мероприятие "Обеспечение выполнения переданных государственных полномочий"</t>
  </si>
  <si>
    <t>0113</t>
  </si>
  <si>
    <t>Другие общегосударственные расходы</t>
  </si>
  <si>
    <t>Основное мероприятие "Развитие архивного дела в Юсьвинском муниципальном округе"</t>
  </si>
  <si>
    <t>Основное мероприятие "Информационное сопровождение деятельности органов местного самоуправления Юсьвинского муниципального округа"</t>
  </si>
  <si>
    <t>Расходы на обеспечение деятельности муниципального казённого учреждения "Единый учётный центр"</t>
  </si>
  <si>
    <t>Расходы на обеспечение деятельности муниципального казённого учреждения "Единый сервисный центр"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</si>
  <si>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</si>
  <si>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</si>
  <si>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</si>
  <si>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</si>
  <si>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</si>
  <si>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</si>
  <si>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</si>
  <si>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и стихийных бедствий природного и техногенного характера, гражданская оборона</t>
  </si>
  <si>
    <t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</si>
  <si>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>Обеспечение содержания муниципального казенного учреждения "Единая дежурная диспетчерская служба"</t>
  </si>
  <si>
    <t>0310</t>
  </si>
  <si>
    <t>Обеспечение пожарной безопасности</t>
  </si>
  <si>
    <t>Муниципальные программы Юсьвинского муниципального округа</t>
  </si>
  <si>
    <t>Основное мероприятие "Обеспечение  пожарной безопасности на территории Юсьвинского муниципального округа"</t>
  </si>
  <si>
    <t xml:space="preserve"> Мероприятия по противопожарному водоснабжению Юсьвинского муниципального округа</t>
  </si>
  <si>
    <t>0314</t>
  </si>
  <si>
    <t>Другие вопросы в области национальной безопасности и правоохранительной деятельности</t>
  </si>
  <si>
    <t>Подпрограмма "Противодействие идеологии  терроризма и экстремизма на территории Юсьвинского муниципального округа Пермского края"</t>
  </si>
  <si>
    <t>Муниципальная программа "Защита населения и территории Юсьвинского муниципального округа от чрезвычайных ситуаций, обеспечение пожарной безопасности и безопасности людей на водных объектах"</t>
  </si>
  <si>
    <t>Расходы на оснащенность  пунктов временного размещения</t>
  </si>
  <si>
    <t>0400</t>
  </si>
  <si>
    <t>Национальная экономика</t>
  </si>
  <si>
    <t>0405</t>
  </si>
  <si>
    <t>Сельское хозяйство и рыболовство</t>
  </si>
  <si>
    <t xml:space="preserve">Мероприятия по отлову безнадзорных животных, их транспортировке, учету и регистрации, содержанию, лечению, кастрации стерилизации), эвтаназии, утилизации </t>
  </si>
  <si>
    <t>0408</t>
  </si>
  <si>
    <t>Транспорт</t>
  </si>
  <si>
    <t>0409</t>
  </si>
  <si>
    <t>Дорожное хозяйство (дорожные фонды)</t>
  </si>
  <si>
    <t>Подпрограмма "Развитие и совершенствование автомобильных дорог Юсьвинского муниципального округа Пермского края "</t>
  </si>
  <si>
    <t>Основное мероприятие "Паспортизация муниципальных дорог"</t>
  </si>
  <si>
    <t>Расходы на содержание муниципальных дорог</t>
  </si>
  <si>
    <t>0412</t>
  </si>
  <si>
    <t>Другие вопросы в области национальной экономики</t>
  </si>
  <si>
    <t>Разработка проектов межевания территории и проведение комплексных кадастровых работ</t>
  </si>
  <si>
    <t>в том числе за счет средств краевого бюджета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</si>
  <si>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</si>
  <si>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</si>
  <si>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</si>
  <si>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</si>
  <si>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</si>
  <si>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</si>
  <si>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Подпрограмма "Развитие коммунальной инфраструктуры Юсьвинского муниципального округа Пермского края"</t>
  </si>
  <si>
    <t>Мероприятия, осуществляемые органами местного самоуправления  Юсьвинского муниципального округа Пермского края в рамках непрограммных направлений расходов</t>
  </si>
  <si>
    <t>0503</t>
  </si>
  <si>
    <t>Благоустройство</t>
  </si>
  <si>
    <t xml:space="preserve"> Расходы на развитие ТОС  на территории Юсьвинского муниципального округа (софинансирование, муниципальный конкурс).</t>
  </si>
  <si>
    <t>Приобретение коммунальной техники</t>
  </si>
  <si>
    <t xml:space="preserve">Обустройство тротуаров с.Юсьва </t>
  </si>
  <si>
    <t>0505</t>
  </si>
  <si>
    <t>Другие расходы в области жилищно-коммунального хозяйства</t>
  </si>
  <si>
    <t>Основное мероприятие "Прочие мероприятия в области благоустройства (окашивание,кронирование деревьев и т.д.)"</t>
  </si>
  <si>
    <t>0700</t>
  </si>
  <si>
    <t>Образование</t>
  </si>
  <si>
    <t>0702</t>
  </si>
  <si>
    <t>Общее образование</t>
  </si>
  <si>
    <t>Социальная политика</t>
  </si>
  <si>
    <t>1001</t>
  </si>
  <si>
    <t>Пенсионное обеспечение</t>
  </si>
  <si>
    <t>Основное мероприятие "Обеспечение выполнения функций  главы округа - главы администрации Юсьвинского муниципального округа, администрации Юсьвинского муниципального округа и её самостоятельных структурных подразделений по реализации вопросов местного значения Юсьвинского муниципального округа"</t>
  </si>
  <si>
    <t>Социальное обеспечение населения</t>
  </si>
  <si>
    <t>Муниципальная программа «Улучшение жилищных условий граждан, проживающих в Юсьвинском муниципальном округе Пермского края»</t>
  </si>
  <si>
    <t>Основное мероприятие  «Обеспечение жильем молодых семей"</t>
  </si>
  <si>
    <t xml:space="preserve">04 0 20 00000 </t>
  </si>
  <si>
    <t xml:space="preserve">05 1 00 00000  </t>
  </si>
  <si>
    <t>Подпрограмма "Распоряжение  имуществом и земельными ресурсами"</t>
  </si>
  <si>
    <t>Проведение капитального ремонта муниципального жилищного фонда и возмещение затрат нанимателям за капитальный ремонт</t>
  </si>
  <si>
    <t>Охрана семьи и детства</t>
  </si>
  <si>
    <t>1006</t>
  </si>
  <si>
    <t>Другие вопросы в области социальной политики</t>
  </si>
  <si>
    <t>Управление образования администрации Юсьвинского муниципального округа Пермского края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</si>
  <si>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</si>
  <si>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</si>
  <si>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</si>
  <si>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</si>
  <si>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0701</t>
  </si>
  <si>
    <t>Дошкольное образование</t>
  </si>
  <si>
    <t>Оказание услуг дошкольного образования в рамках полномочий Юсьвинского муниципального округа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</si>
  <si>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</si>
  <si>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 xml:space="preserve"> Предоставление  мер социальной поддержки педагогическим работникам   общеобразовательных организаций</t>
  </si>
  <si>
    <t>Оказание услуг в сфере общего образования в рамках полномочий Юсьвинского муниципального округа</t>
  </si>
  <si>
    <t>Обеспечение бесплатного проезда  обучающихся до места обучения и обратно.</t>
  </si>
  <si>
    <t>02 5 30 2Н020</t>
  </si>
  <si>
    <t>Расходы за счет единой субвенции на выполнение отдельных государственных полномочий в сфере образования</t>
  </si>
  <si>
    <t>Предоставление  мер социальной поддержки педагогическим работникам   общеобразовательных организаций;</t>
  </si>
  <si>
    <t>0703</t>
  </si>
  <si>
    <t>Дополнительное образование детей</t>
  </si>
  <si>
    <t>Предоставление дополнительного образования детям в области физкультурно- спортивной направленности</t>
  </si>
  <si>
    <t>0707</t>
  </si>
  <si>
    <t>Молодежная политика и оздоровление детей</t>
  </si>
  <si>
    <t>00 0  00 00000</t>
  </si>
  <si>
    <t>0709</t>
  </si>
  <si>
    <t>Другие вопросы в области образования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</si>
  <si>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</si>
  <si>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>Физическая культура и спорт</t>
  </si>
  <si>
    <t>1101</t>
  </si>
  <si>
    <t>Физическая культура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</si>
  <si>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округа"</t>
  </si>
  <si>
    <t>Отдел культуры, молодежной политики и спорта администрации Юсьвинского муниципального округа Пермского края</t>
  </si>
  <si>
    <t>Основное мероприятие «Организация и проведение мероприятий среди молодежи»</t>
  </si>
  <si>
    <t>0800</t>
  </si>
  <si>
    <t>Культура и кинематография</t>
  </si>
  <si>
    <t>0801</t>
  </si>
  <si>
    <t>Культура</t>
  </si>
  <si>
    <t xml:space="preserve">06 1 20 00150 </t>
  </si>
  <si>
    <t>06 1 70 00000</t>
  </si>
  <si>
    <r>
      <rPr>
        <b/>
        <sz val="10"/>
        <rFont val="Times New Roman"/>
        <family val="1"/>
        <charset val="204"/>
      </rPr>
  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</t>
    </r>
    <r>
      <rPr>
        <b/>
        <u/>
        <sz val="10"/>
        <rFont val="Times New Roman"/>
        <family val="1"/>
        <charset val="204"/>
      </rPr>
      <t>»</t>
    </r>
  </si>
  <si>
    <t>0804</t>
  </si>
  <si>
    <t>Другие вопросы в области культуры, кинематографии</t>
  </si>
  <si>
    <t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</si>
  <si>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>Проведение массовых мероприятий, конкурсов (в том числе среди детского населения) 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</si>
  <si>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 xml:space="preserve"> Мероприятия (участие в мероприятиях)по повышению квалификации и переподготовке кадров специалистов учреждений культуры</t>
  </si>
  <si>
    <t>Муниципальная программа "Развитие физической культуры и спорта в  Юсьвинском муниципальном округе Пермского края»"</t>
  </si>
  <si>
    <t>Средства массовой информации</t>
  </si>
  <si>
    <t>Периодическая печать и издательства</t>
  </si>
  <si>
    <t>Дума Юсьвинского муниципального округа Пермского края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</si>
  <si>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</si>
  <si>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</si>
  <si>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91 0 00 00000</t>
  </si>
  <si>
    <t>Обеспечение деятельности органов местного самоуправления Юсьвинского муниципального округа Пермского края</t>
  </si>
  <si>
    <t>91 0 00 00021</t>
  </si>
  <si>
    <t>Депутаты Думы Юсьвинского муниципального округа Пермского края</t>
  </si>
  <si>
    <t>91 0 00 00031</t>
  </si>
  <si>
    <t xml:space="preserve">Расходы на обеспечение деятельности Аппарата  Думы Юсьвинского муниципального округа Пермского края </t>
  </si>
  <si>
    <t>Финансовое управление администрации Юсьвинского муниципального округа Пермского края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</si>
  <si>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</si>
  <si>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</si>
  <si>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</si>
  <si>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</si>
  <si>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 xml:space="preserve">Резервный фонд администрации Юсьвинского муниципального округа Пермского края </t>
  </si>
  <si>
    <t>Источники финансирования дефицита бюджета Юсьвинского муниципального округа на 2022 год и на плановый период 2023 и 2024 годов</t>
  </si>
  <si>
    <t>Приложение 1</t>
  </si>
  <si>
    <t>Приложение 3</t>
  </si>
  <si>
    <t>Приложение 6</t>
  </si>
  <si>
    <t>Приложение  2</t>
  </si>
  <si>
    <t>Программное 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</si>
  <si>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Основное мероприятие "Обеспечение выполнения переданных отдельных государственных полномочий"</t>
  </si>
  <si>
    <t>Предоставление мер социальной поддержки обучающимся из многодетных малоимущих семей</t>
  </si>
  <si>
    <t>Предоставление мер социальной поддержки обучающимся из малоимущих семей.</t>
  </si>
  <si>
    <t>Предоставление мер социальной поддержки обучающимся из малоимущих семей</t>
  </si>
  <si>
    <t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</si>
  <si>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>Организация бесплатного горячего питания обучающихся, получающих начальное общее образование в образовательных организациях</t>
  </si>
  <si>
    <t>09 0 40 00000</t>
  </si>
  <si>
    <t>09 0 40 4Э040</t>
  </si>
  <si>
    <t>Основное мероприятие "Организация и проведение мероприятий, направленных на повышение престижа предпринимательской деятельности"</t>
  </si>
  <si>
    <t>Организация и проведение мероприятий с представителями субъектов малого и среднего предпринимательства</t>
  </si>
  <si>
    <t>Распределение доходов бюджета Юсьвинского муниципального округа по группам, подгруппам, статьям, аналитическим группам подвидов доходов бюджета на 2022 год и на плановый период 2023-2024 годов</t>
  </si>
  <si>
    <t>Распределение бюджетных ассигнований по целевым статьям (муниципальным программам и непрограммным направлениям деятельности) и группам видов расходов классификации расходов  на 2022-2024 год</t>
  </si>
  <si>
    <t>Ведомственная структура расходов бюджета Юсьвинского муниципального округа Пермского края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на 2022-2024  г.г.</t>
  </si>
  <si>
    <t>Обеспечение выполнения функций главы муниципального округа - главы администрации Юсьвинского муниципального округа Пермского края</t>
  </si>
  <si>
    <t>Обеспечение выполнения функций главы муниципального округа - главы администрации Юсьвинского муниципального округа</t>
  </si>
  <si>
    <t>Профессиональная переподготовка и повышение квалификации главы муниципального округа - главы администрации Юсьвинского муниципального округа, муниципальных служащих Юсьвинского муниципального округа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</si>
  <si>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</si>
  <si>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>Подпрограмма "Создание условий для повышения качества жизни людей пожилого возраста"</t>
  </si>
  <si>
    <t>Подпрограмма "Создание условий для повышения качества жизни людей с ограниченными возможностями"</t>
  </si>
  <si>
    <t xml:space="preserve"> Основное мероприятие "Мероприятия по повышению качества жизни людей с ограниченными возможностями"</t>
  </si>
  <si>
    <t>Основное мероприятие "Мероприятия по повышению качества жизни людей с ограниченными возможностями"</t>
  </si>
  <si>
    <t>1003</t>
  </si>
  <si>
    <t>Субсидии бюджетам муниципальных образований на разработку проектов межевания территории и проведение комплексных кадастровых работ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</si>
  <si>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</si>
  <si>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2 02 20 077 14 0000 150</t>
  </si>
  <si>
    <t>Субсидии бюджетам муниципальных образований на строительство (реконструкцию)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</t>
  </si>
  <si>
    <t xml:space="preserve">Субсидии на переселение жителей из труднодоступных, отдаленных и (или) малочисленных населенных пунктов Пермского края </t>
  </si>
  <si>
    <t>04 0 50 SP240</t>
  </si>
  <si>
    <t>Переселение  жителей из труднодоступных, отдаленных и (или) малочисленных населенных пунктов Юсьвинского муниципального округа Пермского края</t>
  </si>
  <si>
    <t>*</t>
  </si>
  <si>
    <t>07 0 20  4Ф020</t>
  </si>
  <si>
    <t>Развитие и укрепление материально-технической базы домов культур (и их филиалов), расположенных в населенных пунктах с численностью жителей до 50 тысяч человек</t>
  </si>
  <si>
    <t xml:space="preserve">Ремонтные работы (текущий ремонт в отношении зданий домов культур (и их филиалов), расположенных в населенных пунктах с численностью жителей до 50 тысяч человек                                                                                                         </t>
  </si>
  <si>
    <t>Обеспечение учреждений культуры специализированным автотранспортом для обслуживания населения, в том числе в сельской местности</t>
  </si>
  <si>
    <t>07 0 10 2Ф180</t>
  </si>
  <si>
    <t>Обеспечение условий для развития физической культуры и массового спорта</t>
  </si>
  <si>
    <t>02 2 30 00000</t>
  </si>
  <si>
    <t>02 2 30 SН070</t>
  </si>
  <si>
    <t xml:space="preserve">Строительство объектов общественной инфраструктуры муниципального значения для создания новых мест в общеобразовательных учреждениях </t>
  </si>
  <si>
    <t>Основное мероприятие "Строительство объектов общественной инфраструктуры муниципального значения для создания новых мест в общеобразовательных учреждениях"</t>
  </si>
  <si>
    <t>Уменьшение прочих остатков денежных средств бюджетов муниципальных округов</t>
  </si>
  <si>
    <t>Увеличение прочих остатков денежных средств бюджетов муниципальных округов</t>
  </si>
  <si>
    <t>10 3 50 00000</t>
  </si>
  <si>
    <t>Расходы на содержание  муниципального бюджетного учреждения «Юсьвинское ЖКХ»</t>
  </si>
  <si>
    <t>Основное мероприятие "Прочие мероприятия в области жилищно-коммунального хозяйства"</t>
  </si>
  <si>
    <t>Ремонт хоккейной площадки</t>
  </si>
  <si>
    <t xml:space="preserve">Предоставление субсидии в целях погашения кредиторской задолженности </t>
  </si>
  <si>
    <t>Строительство школьного образовательного учреждения на 60 мест в с.Доег Юсьвинского муниципального округа</t>
  </si>
  <si>
    <t>10 3 30 SЖ330</t>
  </si>
  <si>
    <t>10 3 30 SЖ520</t>
  </si>
  <si>
    <t>Улучшение качества систем теплоснабжения на территории Юсьвинского муниципального округа Пермского края</t>
  </si>
  <si>
    <t>Техническое перевооружение объектов системы теплоснабжения</t>
  </si>
  <si>
    <t>Проведение проектных работ по строительству распределительных газопроводов на территории Юсьвинского муниципального округа Пермского края</t>
  </si>
  <si>
    <t>Предоставление субсидии в целях погашения кредиторской задолженности</t>
  </si>
  <si>
    <t>+культура?</t>
  </si>
  <si>
    <t>Реализация мероприятий, направленных на комплексное развитие сельских территорий</t>
  </si>
  <si>
    <t>Предоставление социальных выплат на строительство (приобретение) жилья гражданам, проживающим в сельской местности</t>
  </si>
  <si>
    <t>Благоустройство сельских территорий</t>
  </si>
  <si>
    <t>Развитие водоснабжения (строительство и реконструкция в сельской местности локальных водопроводов). Локальный водопровод в п. Майкор. 1 этап. 2 этап. 3 этап.</t>
  </si>
  <si>
    <t>Развитие водоснабжения (строительство и реконструкция в сельской местности локальных водопроводов). Локальный водопровод в п. Майкор. 1 этап. 2 этап. 3 этап</t>
  </si>
  <si>
    <t xml:space="preserve">Реализация мероприятий, направленных на комплексное развитие сельских территорий </t>
  </si>
  <si>
    <t>2 02 20 077 00 0000 150</t>
  </si>
  <si>
    <t>Субсидии бюджетам на софинансирование капитальных вложений в объекты муниципальной собственности</t>
  </si>
  <si>
    <t>10 3 50 00150</t>
  </si>
  <si>
    <t>10 3 50 4М100</t>
  </si>
  <si>
    <t>Мероприятия по реализации федерального проекта по формированию комфортной городской среды</t>
  </si>
  <si>
    <t>изменения</t>
  </si>
  <si>
    <t>2 02 25 467 14 0000 150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</si>
  <si>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</si>
  <si>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Развитие и укрепление материально-технической базы домов культуры (и их филиалов), расположенных в населенных пунктах с численностью жителей до 50 тысяч человек</t>
  </si>
  <si>
    <t>Ремонтные работы (текущий ремонт в отношении зданий домов культуры (и их филиалов), расположенных в населенных пунктах с численностью жителей до 50 тысяч человек</t>
  </si>
  <si>
    <t>2 02 25 467 00 0000 150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</si>
  <si>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</si>
  <si>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06 1 А2 00000</t>
  </si>
  <si>
    <t>Основное мероприятие "Реализация федерального проекта "Творческие люди"</t>
  </si>
  <si>
    <t>06 1 А2 55190</t>
  </si>
  <si>
    <t>Государственная поддержка отрасли культуры</t>
  </si>
  <si>
    <t>в том числе государственная поддержка лучших работников сельских учреждений  культуры</t>
  </si>
  <si>
    <t>06 1 А1 00000</t>
  </si>
  <si>
    <t>Основное мероприятие "Реализация федерального проекта "Культурная среда"</t>
  </si>
  <si>
    <t>Государственная поддержка отрасли культуры (приобретение передвижных, многофункциональных культурных центров (автоклубов) для обслуживания сельского населения</t>
  </si>
  <si>
    <t>Укрепление материально-технической базы домов культур (и их филиалов), расположенных в населенных пунктах с численностью жителей до 50 тысяч человек</t>
  </si>
  <si>
    <t>06 1 70 L4670</t>
  </si>
  <si>
    <t>10 1 10 L5761</t>
  </si>
  <si>
    <t>10 1 10 L5765</t>
  </si>
  <si>
    <t>06 1 А1 55191</t>
  </si>
  <si>
    <t>в том числе за счет внебюджетных источников</t>
  </si>
  <si>
    <t>Основное мероприятие "Оценка недвижимости, признание прав и регулирование отношений по муниципальной собственности"</t>
  </si>
  <si>
    <t>10 3 10 SP183</t>
  </si>
  <si>
    <t>Обустройство колодцев, скважин, водонапорных башен, родников, ключей, других источников водоснабжения и объектов системы водоснабжения, а также их зон санитарной охраны</t>
  </si>
  <si>
    <t>10 2 20 SP182</t>
  </si>
  <si>
    <t>Ремонт и устройство детских, спортивных, спортивно-игровых площадок, устройство, восстановление территорий общего пользования (парков, скверов) (не софинансируемые из краевого бюджета)</t>
  </si>
  <si>
    <t>05 0 10 SP250</t>
  </si>
  <si>
    <t>Снос расселенных жилых домов и нежилых зданий (сооружений), расположенных на территории муниципальных образований Пермского края</t>
  </si>
  <si>
    <t>05 0 10 4И050</t>
  </si>
  <si>
    <t>Изменения</t>
  </si>
  <si>
    <t>92 0 00 00396</t>
  </si>
  <si>
    <t>Государственная экспертиза проектной документации и результатов инженерных изысканий по объекту "Строительство школьного образовательного учреждения на 60 мест в с.Доег Юсьвинского муниципального округа"</t>
  </si>
  <si>
    <t>92 0 00 00397</t>
  </si>
  <si>
    <t>Корректировка проектной документации и результатов инженерных изысканий по привязке типового проекта к объекту "Строительство школьного образовательного учреждения на 60 мест в с.Доег Юсьвинского муниципального округа"</t>
  </si>
  <si>
    <t>Реализация мероприятий, направленных на комплексное развитие сельских территорий (Предоставление социальных выплат на строительство (приобретение) жилья гражданам, проживающим в сельской местности)</t>
  </si>
  <si>
    <t>Реализация мероприятий, направленных на комплексное развитие сельских территорий (Благоустройство сельских территорий)</t>
  </si>
  <si>
    <t>Распределительные газопроводы в п. Майкор Юсьвинского района Пермского края. 1 очередь 1 этап.Строительство распределительных газопроводов в п. Майкор Юсьвинского района Пермского края. 1 очередь. 2 этап</t>
  </si>
  <si>
    <t>10 3 30 SЖ331</t>
  </si>
  <si>
    <t>Субсидии бюджетам муниципальных образований на проведение проектных работ и строительство распределительных газопроводов</t>
  </si>
  <si>
    <t>Приобретение (выкуп) в муниципальную собственность  объектов недвижимости</t>
  </si>
  <si>
    <t>Формирование и содержание жилых помещений маневренного фонда Юсьвинского муниципального округа Пермского края</t>
  </si>
  <si>
    <t>11 1 40 4Д080</t>
  </si>
  <si>
    <t>Выполнение работ по строительному контролю объекта "Ремонт участка автомобильной дороги "Подъезд к с. Юсьва""</t>
  </si>
  <si>
    <t>92 0 00 2P110</t>
  </si>
  <si>
    <t>Призовые выплаты главам муниципальных образований (победителей конкурса)</t>
  </si>
  <si>
    <t>Расходы на выплаты персоналу  в целях обеспечения выполнения  функций государственными (муниципальными)органами, казенными учреждениями</t>
  </si>
  <si>
    <t>15 0 10 L5110</t>
  </si>
  <si>
    <t>Проведение комплексных кадастровых работ</t>
  </si>
  <si>
    <t>за счет средств федерального бюджета</t>
  </si>
  <si>
    <t>02 6 10 4Н100</t>
  </si>
  <si>
    <t>Приобретение и приведение в нормативное состояние автотранспорта для обеспечения бесплатного проезда обучающихся до места обучения и обратно</t>
  </si>
  <si>
    <t>02 6 10 4Н120</t>
  </si>
  <si>
    <t>Мероприятия по подготовке образовательных учреждений к осенне-зимнему периоду</t>
  </si>
  <si>
    <t>02 6 10 4Н140</t>
  </si>
  <si>
    <t xml:space="preserve">Иные межбюджетные трансферты на призовые выплаты главам муниципальных образований Пермского края по достижению наиболее результативных значений показателей управленческой деятельности
</t>
  </si>
  <si>
    <t>2 02 25 511 00 0000 150</t>
  </si>
  <si>
    <t>2 02 25 511 14 0000 150</t>
  </si>
  <si>
    <t>Субсидии бюджетам на проведение комплексных кадастровых работ</t>
  </si>
  <si>
    <t>Субсидии бюджетам муниципальных округов на проведение комплексных кадастровых работ</t>
  </si>
  <si>
    <t>06 1 70 4К170</t>
  </si>
  <si>
    <t>06 1 70 4К090</t>
  </si>
  <si>
    <t>Приведение в нормативное состояние учреждений культуры  и образовательных учреждений в сфере культуры</t>
  </si>
  <si>
    <t>Разработка дизайн-проекта "Модельная библиотека с.Юсьва Юсьвинского муниципального округа Пермского края"</t>
  </si>
  <si>
    <t>06 1 20 4К150</t>
  </si>
  <si>
    <t>Проведение работ по инвентаризации земель и регистрации прав собственности МО «Юсьвинский муниципальный округ» на земельные участки, занятые объектами недвижимости, находящимися в муниципальной собственности</t>
  </si>
  <si>
    <t>15 0 10 4Г040</t>
  </si>
  <si>
    <t>92 0 00 SР180</t>
  </si>
  <si>
    <t>Реализация программ развития преобразованных муниципальных образований</t>
  </si>
  <si>
    <t>Оборудование учреждений социальной сферы инженерно-техническими средствами защиты и системой охраны</t>
  </si>
  <si>
    <t>Мероприятия по проведению ремонтных работ в зданиях и помещениях учреждений, направленные на приведение их в соответствие нормативным требованиям, включая мероприятия, связанные с обеспечением доступной среды для маломобильных групп населения</t>
  </si>
  <si>
    <t>Обеспечение антитеррористической защищенности объектов образовательных учреждений</t>
  </si>
  <si>
    <t>Муниципальная программа "Управление муниципальным имуществом  Юсьвинского муниципального округа Пермского края"</t>
  </si>
  <si>
    <t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</si>
  <si>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>Муниципальная программа "Экономическое развитие Юсьвинского муниципального округа Пермского края"</t>
  </si>
  <si>
    <t>Основное мероприятие «Разработка документов территориального планирования и градостроительного зонирования, документации по планировке территории Юсьвинского муниципального округа»</t>
  </si>
  <si>
    <t>Мероприятия, осуществляемые органами местного самоуправления Юсьвинского муниципального округа в рамках непрограммных направлений</t>
  </si>
  <si>
    <t>Непрограммные мероприятия</t>
  </si>
  <si>
    <t>Реализация функций (полномочий) по ведению бухгалтерского  (бюджетного), кадрового, налогового, статистического учета, осуществлению закупочной деятельности, планированию финансово-хозяйственной деятельности и составлению отчетности</t>
  </si>
  <si>
    <t>2 19 60010 14 0000 151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</si>
  <si>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</si>
  <si>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Государственная пошлина за выдачу органом местного самоуправления муниципального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округов</t>
  </si>
  <si>
    <t>Прочие поступления от использования имущества, находящегося в государственной и муниципальной собственности муниципальных округов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</si>
  <si>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</si>
  <si>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06 1 А2 55195</t>
  </si>
  <si>
    <t xml:space="preserve">1 13 02 994 14 0000 130 </t>
  </si>
  <si>
    <t xml:space="preserve">10 2 30 SЭ240 </t>
  </si>
  <si>
    <t>Мероприятия на снижение негативного воздействия на почвы, восстановление нарушенных земель, ликвидация несанкционированных свалок в границах муниципального образования</t>
  </si>
  <si>
    <t>Субсидия на снижение негативного воздействия на почвы, восстановление нарушенных земель, ликвидация несанкционированных свалок в границах муниципального образования</t>
  </si>
  <si>
    <t>Муниципальная программа " Распоряжение земельными ресурсами и развитие градостроительной деятельности в Юсьвинском муниципальном округе Пермского края"</t>
  </si>
  <si>
    <t>1 05 02000 02 0000 110</t>
  </si>
  <si>
    <t>Единый налог на вмененный доход для отдельных видов деятельности</t>
  </si>
  <si>
    <t>1 05 02010 02 0000 110</t>
  </si>
  <si>
    <t>Установка системы оповещения о возникших террористических проявлениях в месте массового пребывания людей</t>
  </si>
  <si>
    <t>08 1 10 4П071</t>
  </si>
  <si>
    <t>10 4 10 4М060</t>
  </si>
  <si>
    <t>10 4 10 00000</t>
  </si>
  <si>
    <t>Основное мероприятие "Разработка проектно-сметной документации для реализации федерального проекта "Формирование комфортной городской среды "</t>
  </si>
  <si>
    <t>Подготовительные работы по реализации федерального проекта "Формирование комфортной городской среды"</t>
  </si>
  <si>
    <t>10 3 40 00000</t>
  </si>
  <si>
    <t>Основное мероприятие "Обеспечение технического развития систем теплоснабжения Юсьвинского муниципального округа Пермского края"</t>
  </si>
  <si>
    <t>Приобретение жаротрубного котла КВр-2.0 для котельной по адресу: п.Пожва, ул.Судомеханическая, 9ж</t>
  </si>
  <si>
    <t>10 3 40 4М051</t>
  </si>
  <si>
    <t>Обеспечение организации отдыха детей в каникулярное время в рамках полномочий Юсьвинского муниципального округа Пермского края</t>
  </si>
  <si>
    <t>02 4 10 4Н082</t>
  </si>
  <si>
    <t>Прочие доходы от компенсации затрат бюджетов муниципальных округов</t>
  </si>
  <si>
    <t>за счет внебюджетных источников</t>
  </si>
  <si>
    <t>Субсидия на реализацию мероприятий в сфере молодежной политики</t>
  </si>
  <si>
    <t>06 2 10 SН220</t>
  </si>
  <si>
    <t>Реализация мероприятий в сфере молодежной политики</t>
  </si>
  <si>
    <t>Организация досуга, занятости и отдыха детей приоритетных категорий в каникулярное время</t>
  </si>
  <si>
    <t>Обустройство уличного освещения в населенных пунктах Юсьвинского муниципального округа Пермского края</t>
  </si>
  <si>
    <t xml:space="preserve">Обустройство уличного освещения в населенных пунктах Юсьвинского муниципального округа Пермского края </t>
  </si>
  <si>
    <t>за счет краевого бюджета (целевая субсидия)</t>
  </si>
  <si>
    <t>за счет краевого бюджета (единая субсидия)</t>
  </si>
  <si>
    <t>Оборудование площадки с водонепроницаемым покрытием для складирования снега</t>
  </si>
  <si>
    <t>07 0 10 SФ320</t>
  </si>
  <si>
    <t>Реализация мероприятия "Умею плавать!"</t>
  </si>
  <si>
    <t>10 3 40 SЖ520</t>
  </si>
  <si>
    <t>Реализация мероприятий по созданию условий осуществления медицинской деятельности в модульных зданиях ФАП</t>
  </si>
  <si>
    <t>92 0 00 2А180</t>
  </si>
  <si>
    <t>0900</t>
  </si>
  <si>
    <t>Здравоохранение</t>
  </si>
  <si>
    <t>Непрограмные мероприятия</t>
  </si>
  <si>
    <t>0902</t>
  </si>
  <si>
    <t>Амбулаторная помощь</t>
  </si>
  <si>
    <t>Иные межбюджетные трансферты на реализацию мероприятий по созданию условий осуществления медицинской деятельности в модульных зданиях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</si>
  <si>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</si>
  <si>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</si>
  <si>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за счет средств ТОС</t>
  </si>
  <si>
    <t>10 2 30 4М039</t>
  </si>
  <si>
    <t>Предоставление  мер социальной поддержки педагогическим работникам   общеобразовательных организаций (администрирование)</t>
  </si>
  <si>
    <t>92 0 00 2Н024</t>
  </si>
  <si>
    <t>02 6 10 4Н150</t>
  </si>
  <si>
    <t>Строительство, реконструкция, капитальный ремонт, ремонт объектов общественной инфраструктуры муниципального значения: инженерной, коммунальной, социальной инфраструктуры</t>
  </si>
  <si>
    <t>92 0 00 00398</t>
  </si>
  <si>
    <t>Составление ЛСР на выполнение работ по благоустройству и присоединению модульных ФАП к инженерным сетям</t>
  </si>
  <si>
    <t>92 0 00 00180</t>
  </si>
  <si>
    <t>Установка жаротрубного котла КВр-2.0 для котельной по адресу: п.Пожва, ул.Судомеханическая, 9ж</t>
  </si>
  <si>
    <t>Подготовка рабочей документации по объекту "Строительство школьного образовательного учреждения на 60 мест в с.Доег Юсьвинского муниципального округа"</t>
  </si>
  <si>
    <t>Проведение комплекса работ с целью обследования дымовой трубы</t>
  </si>
  <si>
    <t>10 3 40 4М052</t>
  </si>
  <si>
    <t>Субсидия на улучшение качества систем теплоснабжения на территориях муниципальных образований Пермского края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</si>
  <si>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</si>
  <si>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</si>
  <si>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2 18 04010 14 0000 150</t>
  </si>
  <si>
    <t>Доходы бюджетов муниципальных округов от возврата бюджетными учреждениями остатков субсидий прошлых лет</t>
  </si>
  <si>
    <t>БЕЗВОЗМЕЗДНЫЕ ПОСТУПЛЕНИЯ ОТ ГОСУДАРСТВЕННЫХ (МУНИЦИПАЛЬНЫХ) ОРГАНИЗАЦИЙ</t>
  </si>
  <si>
    <t>2 03 00000 00 0000 000</t>
  </si>
  <si>
    <t>Прочие безвозмездные поступления от государственных (муниципальных) организаций в бюджеты муниципальных округов</t>
  </si>
  <si>
    <t>2 03 04099 14 0000 150</t>
  </si>
  <si>
    <t xml:space="preserve">﻿1 14 02043 14 0000 440
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</si>
  <si>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</si>
  <si>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>Предоставление  мер социальной поддержки педагогическим работникам общеобразовательных организаций</t>
  </si>
  <si>
    <t>Субсидия на реализацию мероприятия "Умею плавать!"</t>
  </si>
  <si>
    <t xml:space="preserve">Образование комиссий по делам несовершеннолетних и защите их прав и организация их деятельности </t>
  </si>
  <si>
    <t>Образование комиссий по делам несовершеннолетних и защите их прав и организация их деятельности</t>
  </si>
  <si>
    <t>к решению Думы Юсьвинского муниципального округа                     Пермского края</t>
  </si>
  <si>
    <t>Дотации на сбалансированность бюджетов муниципальных районов, муниципальных округов, городских округов Пермского края в связи с изменением показателей социально-экономического развития Пермского края</t>
  </si>
  <si>
    <t>11 1 40 4Д090</t>
  </si>
  <si>
    <t>Выполнение работ по оформлению отдельных проектов на ремонт мостов из общей ПСД по объекту "Реконструкция автомобильной дороги "Габово-Купрос"</t>
  </si>
  <si>
    <t>07 0 20  4Ф130</t>
  </si>
  <si>
    <t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  (расходы, не софинансируемые из краевого бюджета)</t>
  </si>
  <si>
    <t>МБ</t>
  </si>
  <si>
    <t>КБ</t>
  </si>
  <si>
    <t>к решению Думы Юсьвинского муниципального округа Пермского края</t>
  </si>
  <si>
    <t>Администрирование отдельных государственных полномочий по планированию использования земель сельскохозяйственного назначения</t>
  </si>
  <si>
    <t>02 8 00 00000</t>
  </si>
  <si>
    <t>Подпрограмма "Обеспечение реализации государственной программы и прочие мероприятия в области образования"</t>
  </si>
  <si>
    <t>02 8 10 00000</t>
  </si>
  <si>
    <t>Основное мероприятие "Прочие мероприятия в области образования"</t>
  </si>
  <si>
    <t>02 8 10 2Н440</t>
  </si>
  <si>
    <t>Единовременная премия обучающимся, награжденным знаком отличия Пермского края "Гордость Пермского края"</t>
  </si>
  <si>
    <t>Иные межбюджетные трансферты  на выплату единовременных премий обучающимся, награжденным знаком отличия Пермского края «Гордость Пермского края»</t>
  </si>
  <si>
    <t>Субвенции бюджетам муниципальных образований на администрирование отдельных государственных полномочий по планированию использования земель сельскохозяйственного назначения</t>
  </si>
  <si>
    <t>Содержание выборного должностногго лица</t>
  </si>
  <si>
    <t>10 3 50 4М110</t>
  </si>
  <si>
    <t>Установка новогодних елей на территории Юсьвинского муниципального округа Пермского края</t>
  </si>
  <si>
    <t xml:space="preserve">2 02 45 179 14 0000 150 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</si>
  <si>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</si>
  <si>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ЕВ 00000</t>
  </si>
  <si>
    <t xml:space="preserve">Основное мероприятие "Реализация федерального проекта "Патриотическое воспитание граждан Российской Федерации"
</t>
  </si>
  <si>
    <t>02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</si>
  <si>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</si>
  <si>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﻿1 16 01074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</si>
  <si>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</si>
  <si>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﻿1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</si>
  <si>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</si>
  <si>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﻿1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</si>
  <si>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</si>
  <si>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﻿1 16 07010 14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</si>
  <si>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</si>
  <si>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116 07090 14 0000 140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</si>
  <si>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</si>
  <si>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</si>
  <si>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</si>
  <si>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﻿1 16 10 061 14 0000 140</t>
  </si>
  <si>
    <t>Платежи в целях возмещения убытков, причиненных уклонением от заключения с муниципальным органом муниципального округа (муниципальным казенным учреждением) муниципального контракта, а также иные денежные средства,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</si>
  <si>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﻿1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</si>
  <si>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</si>
  <si>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﻿1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</si>
  <si>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</si>
  <si>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</si>
  <si>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 2 ЕВ 5179F</t>
  </si>
  <si>
    <t>ЕС</t>
  </si>
  <si>
    <t>Приложение 5</t>
  </si>
  <si>
    <t>к решения Думы Юсьвинского</t>
  </si>
  <si>
    <t>муниципального округа Пермского края</t>
  </si>
  <si>
    <t>Распределение средств дорожного фонда Юсьвинского муниципального округа  на 2022 год и на плановый период 2023-2024 годы</t>
  </si>
  <si>
    <t>№ п/п</t>
  </si>
  <si>
    <t>Наименование направлений расходов</t>
  </si>
  <si>
    <t>Сумма (тыс.руб.)</t>
  </si>
  <si>
    <t>средства краевого бюджета</t>
  </si>
  <si>
    <t>средства местного бюджета</t>
  </si>
  <si>
    <t>1.</t>
  </si>
  <si>
    <t>Муниципальная программа "Развитие транспортной системы Юсьвинского муниципального округа Пермского края", в том числе:</t>
  </si>
  <si>
    <t>1.1.</t>
  </si>
  <si>
    <t>Подпрограмма «Развитие и совершенствование автомобильных дорог Юсьвинского муниципального округа Пермского края»</t>
  </si>
  <si>
    <t>1.1.1.</t>
  </si>
  <si>
    <t>1.1.2.</t>
  </si>
  <si>
    <t xml:space="preserve">Мероприятия по капитальному ремонту дорог </t>
  </si>
  <si>
    <t>1.1.2.1.</t>
  </si>
  <si>
    <t>Ремонт участка автомобильной дороги "Подъезд к с. Юсьва" км 000+007 - км 001+094</t>
  </si>
  <si>
    <t>Ремонт автомобильных дорог: "Чинагорт-Мосино", "Чинагорт-Верхняя Волпа-Петрунево"</t>
  </si>
  <si>
    <t>Ремонт участка автомобильной дороги "Габово-Купрос" км 000+000 - км 004+200</t>
  </si>
  <si>
    <t>Ремонт автомобильных дорог по улицам: Жемчужная (от дома №2 до дома №12), Подгорная (от ул. Красноармейская до ул. Студенческая), Студенческая (от ул. Подгорная до ул. Восточная), Мира (от ул. Челюскинцев до ул. Студенческая, от ул. Дружбы до дома №34), Больничная, Гвардейская (от ул. Советская до д. №7), Дружбы (от д. №32 до ул. Мира) с. Юсьва; Центральная (от дома №15 до дома №16) д. Секово; Набережная д. Спирино; Заречная (от ул. Молодежная до д. № 21) д. Обирино; Мартыновская (от дома №1 до дома №19) д. Ситково; Центральная д. Кузьмино; Береговая (от дома №2 до дома №14) д. Габово</t>
  </si>
  <si>
    <t>Ремонт автомобильных дорог по улицам: Гоголя (от ул. Ленина до ул. Чапаева), Елыманская (от ул. Торговая до дома №53), Крылова (от ул. Широкая до дома №22), Куйбышева (от ул. Судомеханическая до ул. Энгельса), Чехова (от дома № 2 до ул. Куйбышева) п. Пожва; Свободы (от ул. Комсомольская до ул. Мира, от ул. Ленина до ул. Молодежная), Молодежная (от ул. Ленина до дома №3) п. Майкор</t>
  </si>
  <si>
    <t>Ремонт автомобильных дорог: "Пожва-Е.Пожва" км 003+850 - км 004+730, "Купрос-Тимино-Тукачево" км 019+080 - км 020+447</t>
  </si>
  <si>
    <t>Ремонт автомобильной дороги по ул. 8 Марта (от ул. Веселая до д. № 6) п. Горки</t>
  </si>
  <si>
    <t>Ремонт автомобильной дороги по ул. Горковская (от ул. Лесная до ул. 8 Марта) п. Горки</t>
  </si>
  <si>
    <t>Ремонт участка автомобильной дороги по ул. Нижняя (от ул. Центральная до ул. Заречная) с. Они</t>
  </si>
  <si>
    <t>Ремонт участка автомобильной дороги по ул. Свободы (от ул. Соликамская  до ул. Ошмарина ) п. Майкор</t>
  </si>
  <si>
    <t>Ремонт участка автомобильной дороги «Габово-Купрос» км 010+000 - км 012+000</t>
  </si>
  <si>
    <t>Ремонт участка автомобильной дороги «Антипино - Казенная» км 007+589 – км 008+914</t>
  </si>
  <si>
    <t>Ремонт участков автомобильных дорог общего пользования местного значения сельских населенных пунктов Юсьвинского муниципального округа Пермского края</t>
  </si>
  <si>
    <t>Ремонт участка ул. Молодежная (от ул. Дорожная до ул. Новая) с. Архангельское</t>
  </si>
  <si>
    <t>Ремонт участка ул. Механизаторов (от ул. Крестьянская до ул. Овражная) с. Юсьва</t>
  </si>
  <si>
    <t>Ремонт участка ул. Володарского (от ул. Ленина до ул. Пушкина) п. Майкор</t>
  </si>
  <si>
    <t>Ремонт участка автомобильной дороги «Антипино-Казенная» км 008+914 – км 010+994</t>
  </si>
  <si>
    <t>Ремонт участка автомобильной дороги «Габово-Купрос» км 028+675 - км 029+310</t>
  </si>
  <si>
    <t>Ремонт автомобильной дороги «Архангельское-Антипино-Дмитриево»</t>
  </si>
  <si>
    <t>Ремонт автомобильной дороги «Кудымкар-Пожва –Дубленово»</t>
  </si>
  <si>
    <t>1.1.2.2.</t>
  </si>
  <si>
    <t>1.1.2.3.</t>
  </si>
  <si>
    <t>1.1.2.4.</t>
  </si>
  <si>
    <t>Мероприятия по восстановлению труб и мостов</t>
  </si>
  <si>
    <t>Ремонт водопропускных труб на автомобильных дорогах «Аксеново-Габово» км 0+215, «Антипино-Казенная» км 2+520</t>
  </si>
  <si>
    <t>Ремонт водопропускных труб на автомобильной дороге «Купрос-Якино»</t>
  </si>
  <si>
    <t>Ремонт моста через р. Юсьва автомобильной дороги «Юсьва-Мелюхино-Асаново»</t>
  </si>
  <si>
    <t>Ремонт моста через р. Октасшор автомобильной дороги «Доег-Пет-Бор»</t>
  </si>
  <si>
    <t>Ремонт моста через р. Башорка в с. Они</t>
  </si>
  <si>
    <t xml:space="preserve">Восстановление водопропускной трубы на автомобильной дороге 
«Архангельское-Антипино-Якунево-Яранево» 
</t>
  </si>
  <si>
    <t xml:space="preserve">Выполнение работ по восстановлению водопропускных труб 
на автомобильной дороге «Пожва-Е. Пожва» км 3+521
</t>
  </si>
  <si>
    <t>Ремонт моста через р. Космос автомобильной дороги "Асаново-Белюково-Пахомово"</t>
  </si>
  <si>
    <t>1.1.3.</t>
  </si>
  <si>
    <t>1.2.</t>
  </si>
  <si>
    <t>Подпрограмма «Повышение безопасности  дорожного движения на автомобильных дорогах Юсьвинского муниципального округа"</t>
  </si>
  <si>
    <t>1.2.1.</t>
  </si>
  <si>
    <t>Замена и установка барьерных ограждений, автобусных остановок, недостающих дорожных знаков, информационных щитов, светофоров</t>
  </si>
  <si>
    <t>92 0 00 00399</t>
  </si>
  <si>
    <t>Экспетное сопровождение в отношении объекта капитального строительства "Строительство школьного образовательного учреждения на 60 мест в с.Доег Юсьвинского муниципального округа"</t>
  </si>
  <si>
    <t>Экспертное сопровождение в отношении объекта капитального строительства "Строительство школьного образовательного учреждения на 60 мест в с.Доег Юсьвинского муниципального округа"</t>
  </si>
  <si>
    <t>Ремонт участка автомобильной дороги «Пожва - Усть-Пожва» км 001+000 – км 001+742</t>
  </si>
  <si>
    <t>Ремонт участка автомобильной дороги «Пожва - Усть-Пожва» км 000+000 – км 001+000</t>
  </si>
  <si>
    <t>Восстановление проезжей части искусственного сооружения на участке автомобильной дороги "Сивашер-Обирино-Сыскино км 5+357</t>
  </si>
  <si>
    <t>Восстановление проезжей части искусственного сооружения на участках автомобильных дорог</t>
  </si>
  <si>
    <t>11 1 40 4Д100</t>
  </si>
  <si>
    <t>от 22.12.2022 № 476</t>
  </si>
  <si>
    <t>от 22.12.2022  № 476</t>
  </si>
  <si>
    <t>от 22.12.2022   № 476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</si>
</sst>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(* #,##0.00_);_(* \(#,##0.00\);_(* &quot;-&quot;??_);_(@_)"/>
    <numFmt numFmtId="167" formatCode="_-* #,##0.00\ _D_M_-;\-* #,##0.00\ _D_M_-;_-* &quot;-&quot;??\ _D_M_-;_-@_-"/>
    <numFmt numFmtId="168" formatCode="?"/>
    <numFmt numFmtId="169" formatCode="?.0"/>
    <numFmt numFmtId="170" formatCode="0.0"/>
    <numFmt numFmtId="171" formatCode="#,##0.000"/>
    <numFmt numFmtId="172" formatCode="0.000"/>
    <numFmt numFmtId="173" formatCode="_-* #,##0.000\ _₽_-;\-* #,##0.000\ _₽_-;_-* &quot;-&quot;??\ _₽_-;_-@_-"/>
  </numFmts>
  <fonts count="9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indexed="8"/>
      <name val="Times New Roman CYR"/>
    </font>
    <font>
      <b/>
      <sz val="11"/>
      <color indexed="8"/>
      <name val="Calibri"/>
      <family val="2"/>
      <charset val="204"/>
      <scheme val="minor"/>
    </font>
    <font>
      <sz val="14"/>
      <color indexed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u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8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6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0" applyNumberFormat="0" applyBorder="0" applyAlignment="0" applyProtection="0"/>
    <xf numFmtId="0" fontId="1" fillId="8" borderId="0" applyNumberFormat="0" applyBorder="0" applyAlignment="0" applyProtection="0"/>
    <xf numFmtId="0" fontId="5" fillId="7" borderId="0" applyNumberFormat="0" applyBorder="0" applyAlignment="0" applyProtection="0"/>
    <xf numFmtId="0" fontId="1" fillId="7" borderId="0" applyNumberFormat="0" applyBorder="0" applyAlignment="0" applyProtection="0"/>
    <xf numFmtId="0" fontId="5" fillId="9" borderId="0" applyNumberFormat="0" applyBorder="0" applyAlignment="0" applyProtection="0"/>
    <xf numFmtId="0" fontId="1" fillId="9" borderId="0" applyNumberFormat="0" applyBorder="0" applyAlignment="0" applyProtection="0"/>
    <xf numFmtId="0" fontId="5" fillId="10" borderId="0" applyNumberFormat="0" applyBorder="0" applyAlignment="0" applyProtection="0"/>
    <xf numFmtId="0" fontId="1" fillId="10" borderId="0" applyNumberFormat="0" applyBorder="0" applyAlignment="0" applyProtection="0"/>
    <xf numFmtId="0" fontId="5" fillId="11" borderId="0" applyNumberFormat="0" applyBorder="0" applyAlignment="0" applyProtection="0"/>
    <xf numFmtId="0" fontId="1" fillId="11" borderId="0" applyNumberFormat="0" applyBorder="0" applyAlignment="0" applyProtection="0"/>
    <xf numFmtId="0" fontId="5" fillId="12" borderId="0" applyNumberFormat="0" applyBorder="0" applyAlignment="0" applyProtection="0"/>
    <xf numFmtId="0" fontId="1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5" fillId="6" borderId="0" applyNumberFormat="0" applyBorder="0" applyAlignment="0" applyProtection="0"/>
    <xf numFmtId="0" fontId="1" fillId="6" borderId="0" applyNumberFormat="0" applyBorder="0" applyAlignment="0" applyProtection="0"/>
    <xf numFmtId="0" fontId="5" fillId="3" borderId="0" applyNumberFormat="0" applyBorder="0" applyAlignment="0" applyProtection="0"/>
    <xf numFmtId="0" fontId="1" fillId="3" borderId="0" applyNumberFormat="0" applyBorder="0" applyAlignment="0" applyProtection="0"/>
    <xf numFmtId="0" fontId="5" fillId="16" borderId="0" applyNumberFormat="0" applyBorder="0" applyAlignment="0" applyProtection="0"/>
    <xf numFmtId="0" fontId="1" fillId="16" borderId="0" applyNumberFormat="0" applyBorder="0" applyAlignment="0" applyProtection="0"/>
    <xf numFmtId="0" fontId="5" fillId="10" borderId="0" applyNumberFormat="0" applyBorder="0" applyAlignment="0" applyProtection="0"/>
    <xf numFmtId="0" fontId="1" fillId="10" borderId="0" applyNumberFormat="0" applyBorder="0" applyAlignment="0" applyProtection="0"/>
    <xf numFmtId="0" fontId="5" fillId="6" borderId="0" applyNumberFormat="0" applyBorder="0" applyAlignment="0" applyProtection="0"/>
    <xf numFmtId="0" fontId="1" fillId="6" borderId="0" applyNumberFormat="0" applyBorder="0" applyAlignment="0" applyProtection="0"/>
    <xf numFmtId="0" fontId="5" fillId="17" borderId="0" applyNumberFormat="0" applyBorder="0" applyAlignment="0" applyProtection="0"/>
    <xf numFmtId="0" fontId="1" fillId="17" borderId="0" applyNumberFormat="0" applyBorder="0" applyAlignment="0" applyProtection="0"/>
    <xf numFmtId="0" fontId="6" fillId="13" borderId="0" applyNumberFormat="0" applyBorder="0" applyAlignment="0" applyProtection="0"/>
    <xf numFmtId="0" fontId="6" fillId="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3" borderId="0" applyNumberFormat="0" applyBorder="0" applyAlignment="0" applyProtection="0"/>
    <xf numFmtId="0" fontId="6" fillId="12" borderId="0" applyNumberFormat="0" applyBorder="0" applyAlignment="0" applyProtection="0"/>
    <xf numFmtId="0" fontId="7" fillId="18" borderId="0" applyNumberFormat="0" applyBorder="0" applyAlignment="0" applyProtection="0"/>
    <xf numFmtId="0" fontId="7" fillId="3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8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8" fillId="32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8" fillId="24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9" fillId="39" borderId="0" applyNumberFormat="0" applyBorder="0" applyAlignment="0" applyProtection="0"/>
    <xf numFmtId="0" fontId="9" fillId="28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10" fillId="28" borderId="0" applyNumberFormat="0" applyBorder="0" applyAlignment="0" applyProtection="0"/>
    <xf numFmtId="0" fontId="11" fillId="42" borderId="1" applyNumberFormat="0" applyAlignment="0" applyProtection="0"/>
    <xf numFmtId="0" fontId="12" fillId="29" borderId="2" applyNumberFormat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3" fillId="45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46" borderId="0" applyNumberFormat="0" applyBorder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40" borderId="1" applyNumberFormat="0" applyAlignment="0" applyProtection="0"/>
    <xf numFmtId="0" fontId="20" fillId="0" borderId="6" applyNumberFormat="0" applyFill="0" applyAlignment="0" applyProtection="0"/>
    <xf numFmtId="0" fontId="21" fillId="40" borderId="0" applyNumberFormat="0" applyBorder="0" applyAlignment="0" applyProtection="0"/>
    <xf numFmtId="0" fontId="57" fillId="0" borderId="0"/>
    <xf numFmtId="0" fontId="3" fillId="39" borderId="7" applyNumberFormat="0" applyFont="0" applyAlignment="0" applyProtection="0"/>
    <xf numFmtId="0" fontId="22" fillId="42" borderId="8" applyNumberFormat="0" applyAlignment="0" applyProtection="0"/>
    <xf numFmtId="0" fontId="3" fillId="0" borderId="0"/>
    <xf numFmtId="4" fontId="23" fillId="47" borderId="9" applyNumberFormat="0" applyProtection="0">
      <alignment vertical="center"/>
    </xf>
    <xf numFmtId="0" fontId="3" fillId="0" borderId="0"/>
    <xf numFmtId="0" fontId="3" fillId="0" borderId="0"/>
    <xf numFmtId="0" fontId="3" fillId="0" borderId="0"/>
    <xf numFmtId="4" fontId="24" fillId="47" borderId="9" applyNumberFormat="0" applyProtection="0">
      <alignment vertical="center"/>
    </xf>
    <xf numFmtId="0" fontId="3" fillId="0" borderId="0"/>
    <xf numFmtId="0" fontId="3" fillId="0" borderId="0"/>
    <xf numFmtId="4" fontId="23" fillId="47" borderId="9" applyNumberFormat="0" applyProtection="0">
      <alignment horizontal="left" vertical="center" indent="1"/>
    </xf>
    <xf numFmtId="0" fontId="3" fillId="0" borderId="0"/>
    <xf numFmtId="4" fontId="25" fillId="48" borderId="10" applyNumberFormat="0" applyProtection="0">
      <alignment horizontal="left" vertical="center" indent="1"/>
    </xf>
    <xf numFmtId="0" fontId="3" fillId="0" borderId="0"/>
    <xf numFmtId="0" fontId="23" fillId="47" borderId="9" applyNumberFormat="0" applyProtection="0">
      <alignment horizontal="left" vertical="top" indent="1"/>
    </xf>
    <xf numFmtId="0" fontId="3" fillId="0" borderId="0"/>
    <xf numFmtId="0" fontId="3" fillId="0" borderId="0"/>
    <xf numFmtId="4" fontId="23" fillId="2" borderId="0" applyNumberFormat="0" applyProtection="0">
      <alignment horizontal="left" vertical="center" indent="1"/>
    </xf>
    <xf numFmtId="0" fontId="3" fillId="0" borderId="0"/>
    <xf numFmtId="0" fontId="3" fillId="0" borderId="0"/>
    <xf numFmtId="4" fontId="4" fillId="7" borderId="9" applyNumberFormat="0" applyProtection="0">
      <alignment horizontal="right" vertical="center"/>
    </xf>
    <xf numFmtId="0" fontId="3" fillId="0" borderId="0"/>
    <xf numFmtId="0" fontId="3" fillId="0" borderId="0"/>
    <xf numFmtId="4" fontId="4" fillId="3" borderId="9" applyNumberFormat="0" applyProtection="0">
      <alignment horizontal="right" vertical="center"/>
    </xf>
    <xf numFmtId="0" fontId="3" fillId="0" borderId="0"/>
    <xf numFmtId="0" fontId="3" fillId="0" borderId="0"/>
    <xf numFmtId="4" fontId="4" fillId="49" borderId="9" applyNumberFormat="0" applyProtection="0">
      <alignment horizontal="right" vertical="center"/>
    </xf>
    <xf numFmtId="0" fontId="3" fillId="0" borderId="0"/>
    <xf numFmtId="0" fontId="3" fillId="0" borderId="0"/>
    <xf numFmtId="4" fontId="4" fillId="17" borderId="9" applyNumberFormat="0" applyProtection="0">
      <alignment horizontal="right" vertical="center"/>
    </xf>
    <xf numFmtId="0" fontId="3" fillId="0" borderId="0"/>
    <xf numFmtId="0" fontId="3" fillId="0" borderId="0"/>
    <xf numFmtId="4" fontId="4" fillId="21" borderId="9" applyNumberFormat="0" applyProtection="0">
      <alignment horizontal="right" vertical="center"/>
    </xf>
    <xf numFmtId="0" fontId="3" fillId="0" borderId="0"/>
    <xf numFmtId="0" fontId="3" fillId="0" borderId="0"/>
    <xf numFmtId="4" fontId="4" fillId="50" borderId="9" applyNumberFormat="0" applyProtection="0">
      <alignment horizontal="right" vertical="center"/>
    </xf>
    <xf numFmtId="0" fontId="3" fillId="0" borderId="0"/>
    <xf numFmtId="0" fontId="3" fillId="0" borderId="0"/>
    <xf numFmtId="4" fontId="4" fillId="14" borderId="9" applyNumberFormat="0" applyProtection="0">
      <alignment horizontal="right" vertical="center"/>
    </xf>
    <xf numFmtId="0" fontId="3" fillId="0" borderId="0"/>
    <xf numFmtId="0" fontId="3" fillId="0" borderId="0"/>
    <xf numFmtId="4" fontId="4" fillId="51" borderId="9" applyNumberFormat="0" applyProtection="0">
      <alignment horizontal="right" vertical="center"/>
    </xf>
    <xf numFmtId="0" fontId="3" fillId="0" borderId="0"/>
    <xf numFmtId="0" fontId="3" fillId="0" borderId="0"/>
    <xf numFmtId="4" fontId="4" fillId="16" borderId="9" applyNumberFormat="0" applyProtection="0">
      <alignment horizontal="right" vertical="center"/>
    </xf>
    <xf numFmtId="0" fontId="3" fillId="0" borderId="0"/>
    <xf numFmtId="0" fontId="3" fillId="0" borderId="0"/>
    <xf numFmtId="4" fontId="23" fillId="52" borderId="11" applyNumberFormat="0" applyProtection="0">
      <alignment horizontal="left" vertical="center" indent="1"/>
    </xf>
    <xf numFmtId="0" fontId="3" fillId="0" borderId="0"/>
    <xf numFmtId="0" fontId="3" fillId="0" borderId="0"/>
    <xf numFmtId="4" fontId="4" fillId="53" borderId="0" applyNumberFormat="0" applyProtection="0">
      <alignment horizontal="left" vertical="center" indent="1"/>
    </xf>
    <xf numFmtId="0" fontId="3" fillId="0" borderId="0"/>
    <xf numFmtId="0" fontId="3" fillId="0" borderId="0"/>
    <xf numFmtId="4" fontId="26" fillId="13" borderId="0" applyNumberFormat="0" applyProtection="0">
      <alignment horizontal="left" vertical="center" indent="1"/>
    </xf>
    <xf numFmtId="0" fontId="3" fillId="0" borderId="0"/>
    <xf numFmtId="0" fontId="3" fillId="0" borderId="0"/>
    <xf numFmtId="4" fontId="4" fillId="2" borderId="9" applyNumberFormat="0" applyProtection="0">
      <alignment horizontal="right" vertical="center"/>
    </xf>
    <xf numFmtId="0" fontId="3" fillId="0" borderId="0"/>
    <xf numFmtId="0" fontId="3" fillId="0" borderId="0"/>
    <xf numFmtId="4" fontId="27" fillId="53" borderId="0" applyNumberFormat="0" applyProtection="0">
      <alignment horizontal="left" vertical="center" indent="1"/>
    </xf>
    <xf numFmtId="0" fontId="3" fillId="0" borderId="0"/>
    <xf numFmtId="0" fontId="3" fillId="0" borderId="0"/>
    <xf numFmtId="4" fontId="27" fillId="2" borderId="0" applyNumberFormat="0" applyProtection="0">
      <alignment horizontal="left" vertical="center" indent="1"/>
    </xf>
    <xf numFmtId="0" fontId="3" fillId="0" borderId="0"/>
    <xf numFmtId="0" fontId="25" fillId="15" borderId="10" applyNumberFormat="0" applyProtection="0">
      <alignment horizontal="left" vertical="center" indent="1"/>
    </xf>
    <xf numFmtId="0" fontId="3" fillId="13" borderId="9" applyNumberFormat="0" applyProtection="0">
      <alignment horizontal="left" vertical="center" indent="1"/>
    </xf>
    <xf numFmtId="0" fontId="3" fillId="13" borderId="9" applyNumberFormat="0" applyProtection="0">
      <alignment horizontal="left" vertical="center" indent="1"/>
    </xf>
    <xf numFmtId="0" fontId="3" fillId="0" borderId="0"/>
    <xf numFmtId="0" fontId="3" fillId="13" borderId="9" applyNumberFormat="0" applyProtection="0">
      <alignment horizontal="left" vertical="top" indent="1"/>
    </xf>
    <xf numFmtId="0" fontId="3" fillId="0" borderId="0"/>
    <xf numFmtId="0" fontId="25" fillId="54" borderId="10" applyNumberFormat="0" applyProtection="0">
      <alignment horizontal="left" vertical="center" indent="1"/>
    </xf>
    <xf numFmtId="0" fontId="3" fillId="2" borderId="9" applyNumberFormat="0" applyProtection="0">
      <alignment horizontal="left" vertical="center" indent="1"/>
    </xf>
    <xf numFmtId="0" fontId="3" fillId="0" borderId="0"/>
    <xf numFmtId="0" fontId="3" fillId="2" borderId="9" applyNumberFormat="0" applyProtection="0">
      <alignment horizontal="left" vertical="top" indent="1"/>
    </xf>
    <xf numFmtId="0" fontId="3" fillId="0" borderId="0"/>
    <xf numFmtId="0" fontId="25" fillId="6" borderId="10" applyNumberFormat="0" applyProtection="0">
      <alignment horizontal="left" vertical="center" indent="1"/>
    </xf>
    <xf numFmtId="0" fontId="25" fillId="6" borderId="10" applyNumberFormat="0" applyProtection="0">
      <alignment horizontal="left" vertical="center" indent="1"/>
    </xf>
    <xf numFmtId="0" fontId="3" fillId="0" borderId="0"/>
    <xf numFmtId="0" fontId="3" fillId="6" borderId="9" applyNumberFormat="0" applyProtection="0">
      <alignment horizontal="left" vertical="top" indent="1"/>
    </xf>
    <xf numFmtId="0" fontId="3" fillId="0" borderId="0"/>
    <xf numFmtId="0" fontId="3" fillId="0" borderId="0"/>
    <xf numFmtId="0" fontId="3" fillId="53" borderId="9" applyNumberFormat="0" applyProtection="0">
      <alignment horizontal="left" vertical="center" indent="1"/>
    </xf>
    <xf numFmtId="0" fontId="3" fillId="0" borderId="0"/>
    <xf numFmtId="0" fontId="3" fillId="0" borderId="0"/>
    <xf numFmtId="0" fontId="3" fillId="53" borderId="9" applyNumberFormat="0" applyProtection="0">
      <alignment horizontal="left" vertical="top" indent="1"/>
    </xf>
    <xf numFmtId="0" fontId="3" fillId="0" borderId="0"/>
    <xf numFmtId="0" fontId="3" fillId="0" borderId="0"/>
    <xf numFmtId="0" fontId="3" fillId="5" borderId="12" applyNumberFormat="0">
      <protection locked="0"/>
    </xf>
    <xf numFmtId="0" fontId="3" fillId="0" borderId="0"/>
    <xf numFmtId="0" fontId="28" fillId="13" borderId="13" applyBorder="0"/>
    <xf numFmtId="0" fontId="3" fillId="0" borderId="0"/>
    <xf numFmtId="4" fontId="4" fillId="4" borderId="9" applyNumberFormat="0" applyProtection="0">
      <alignment vertical="center"/>
    </xf>
    <xf numFmtId="0" fontId="3" fillId="0" borderId="0"/>
    <xf numFmtId="0" fontId="3" fillId="0" borderId="0"/>
    <xf numFmtId="4" fontId="29" fillId="4" borderId="9" applyNumberFormat="0" applyProtection="0">
      <alignment vertical="center"/>
    </xf>
    <xf numFmtId="0" fontId="3" fillId="0" borderId="0"/>
    <xf numFmtId="0" fontId="3" fillId="0" borderId="0"/>
    <xf numFmtId="4" fontId="4" fillId="4" borderId="9" applyNumberFormat="0" applyProtection="0">
      <alignment horizontal="left" vertical="center" indent="1"/>
    </xf>
    <xf numFmtId="0" fontId="3" fillId="0" borderId="0"/>
    <xf numFmtId="0" fontId="3" fillId="0" borderId="0"/>
    <xf numFmtId="0" fontId="4" fillId="4" borderId="9" applyNumberFormat="0" applyProtection="0">
      <alignment horizontal="left" vertical="top" indent="1"/>
    </xf>
    <xf numFmtId="0" fontId="3" fillId="0" borderId="0"/>
    <xf numFmtId="4" fontId="25" fillId="0" borderId="10" applyNumberFormat="0" applyProtection="0">
      <alignment horizontal="right" vertical="center"/>
    </xf>
    <xf numFmtId="4" fontId="25" fillId="0" borderId="10" applyNumberFormat="0" applyProtection="0">
      <alignment horizontal="right" vertical="center"/>
    </xf>
    <xf numFmtId="4" fontId="25" fillId="0" borderId="10" applyNumberFormat="0" applyProtection="0">
      <alignment horizontal="right" vertical="center"/>
    </xf>
    <xf numFmtId="0" fontId="3" fillId="0" borderId="0"/>
    <xf numFmtId="4" fontId="29" fillId="53" borderId="9" applyNumberFormat="0" applyProtection="0">
      <alignment horizontal="right" vertical="center"/>
    </xf>
    <xf numFmtId="0" fontId="3" fillId="0" borderId="0"/>
    <xf numFmtId="0" fontId="3" fillId="0" borderId="0"/>
    <xf numFmtId="4" fontId="4" fillId="2" borderId="9" applyNumberFormat="0" applyProtection="0">
      <alignment horizontal="left" vertical="center" indent="1"/>
    </xf>
    <xf numFmtId="0" fontId="3" fillId="0" borderId="0"/>
    <xf numFmtId="0" fontId="3" fillId="0" borderId="0"/>
    <xf numFmtId="0" fontId="3" fillId="0" borderId="0"/>
    <xf numFmtId="0" fontId="4" fillId="2" borderId="9" applyNumberFormat="0" applyProtection="0">
      <alignment horizontal="left" vertical="top" indent="1"/>
    </xf>
    <xf numFmtId="0" fontId="3" fillId="0" borderId="0"/>
    <xf numFmtId="0" fontId="3" fillId="0" borderId="0"/>
    <xf numFmtId="4" fontId="30" fillId="55" borderId="0" applyNumberFormat="0" applyProtection="0">
      <alignment horizontal="left" vertical="center" indent="1"/>
    </xf>
    <xf numFmtId="0" fontId="3" fillId="0" borderId="0"/>
    <xf numFmtId="0" fontId="25" fillId="56" borderId="12"/>
    <xf numFmtId="0" fontId="3" fillId="0" borderId="0"/>
    <xf numFmtId="4" fontId="31" fillId="53" borderId="9" applyNumberFormat="0" applyProtection="0">
      <alignment horizontal="right" vertical="center"/>
    </xf>
    <xf numFmtId="0" fontId="3" fillId="0" borderId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33" fillId="0" borderId="0" applyNumberFormat="0" applyFill="0" applyBorder="0" applyAlignment="0" applyProtection="0"/>
    <xf numFmtId="0" fontId="7" fillId="57" borderId="0" applyNumberFormat="0" applyBorder="0" applyAlignment="0" applyProtection="0"/>
    <xf numFmtId="0" fontId="7" fillId="49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50" borderId="0" applyNumberFormat="0" applyBorder="0" applyAlignment="0" applyProtection="0"/>
    <xf numFmtId="0" fontId="34" fillId="12" borderId="1" applyNumberFormat="0" applyAlignment="0" applyProtection="0"/>
    <xf numFmtId="0" fontId="35" fillId="15" borderId="8" applyNumberFormat="0" applyAlignment="0" applyProtection="0"/>
    <xf numFmtId="0" fontId="36" fillId="15" borderId="1" applyNumberFormat="0" applyAlignment="0" applyProtection="0"/>
    <xf numFmtId="0" fontId="37" fillId="0" borderId="15" applyNumberFormat="0" applyFill="0" applyAlignment="0" applyProtection="0"/>
    <xf numFmtId="0" fontId="38" fillId="0" borderId="4" applyNumberFormat="0" applyFill="0" applyAlignment="0" applyProtection="0"/>
    <xf numFmtId="0" fontId="39" fillId="0" borderId="16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17" applyNumberFormat="0" applyFill="0" applyAlignment="0" applyProtection="0"/>
    <xf numFmtId="0" fontId="41" fillId="58" borderId="2" applyNumberFormat="0" applyAlignment="0" applyProtection="0"/>
    <xf numFmtId="0" fontId="42" fillId="0" borderId="0" applyNumberFormat="0" applyFill="0" applyBorder="0" applyAlignment="0" applyProtection="0"/>
    <xf numFmtId="0" fontId="43" fillId="47" borderId="0" applyNumberFormat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9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9" fillId="0" borderId="0"/>
    <xf numFmtId="0" fontId="3" fillId="0" borderId="0"/>
    <xf numFmtId="0" fontId="59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0" fillId="0" borderId="0"/>
    <xf numFmtId="0" fontId="2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3" fillId="0" borderId="0"/>
    <xf numFmtId="0" fontId="56" fillId="0" borderId="0"/>
    <xf numFmtId="0" fontId="3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2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2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44" fillId="0" borderId="0"/>
    <xf numFmtId="0" fontId="3" fillId="0" borderId="0"/>
    <xf numFmtId="0" fontId="3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0" fillId="0" borderId="0"/>
    <xf numFmtId="0" fontId="3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2" fillId="0" borderId="0"/>
    <xf numFmtId="0" fontId="2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3" fillId="0" borderId="0"/>
    <xf numFmtId="0" fontId="45" fillId="59" borderId="0"/>
    <xf numFmtId="0" fontId="2" fillId="0" borderId="0"/>
    <xf numFmtId="0" fontId="5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" fillId="0" borderId="0"/>
    <xf numFmtId="0" fontId="3" fillId="0" borderId="0"/>
    <xf numFmtId="0" fontId="46" fillId="0" borderId="0"/>
    <xf numFmtId="0" fontId="45" fillId="59" borderId="0"/>
    <xf numFmtId="0" fontId="59" fillId="0" borderId="0"/>
    <xf numFmtId="0" fontId="47" fillId="7" borderId="0" applyNumberFormat="0" applyBorder="0" applyAlignment="0" applyProtection="0"/>
    <xf numFmtId="0" fontId="48" fillId="0" borderId="0" applyNumberFormat="0" applyFill="0" applyBorder="0" applyAlignment="0" applyProtection="0"/>
    <xf numFmtId="0" fontId="3" fillId="4" borderId="7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9" fillId="0" borderId="18" applyNumberFormat="0" applyFill="0" applyAlignment="0" applyProtection="0"/>
    <xf numFmtId="0" fontId="50" fillId="0" borderId="0"/>
    <xf numFmtId="0" fontId="51" fillId="0" borderId="0" applyNumberForma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2" fillId="9" borderId="0" applyNumberFormat="0" applyBorder="0" applyAlignment="0" applyProtection="0"/>
    <xf numFmtId="43" fontId="56" fillId="0" borderId="0" applyFont="0" applyFill="0" applyBorder="0" applyAlignment="0" applyProtection="0"/>
  </cellStyleXfs>
  <cellXfs count="684">
    <xf numFmtId="0" fontId="0" fillId="0" borderId="0" xfId="0"/>
    <xf numFmtId="0" fontId="61" fillId="0" borderId="0" xfId="0" applyFont="1"/>
    <xf numFmtId="0" fontId="46" fillId="0" borderId="12" xfId="387" applyFont="1" applyBorder="1" applyAlignment="1">
      <alignment wrapText="1"/>
    </xf>
    <xf numFmtId="0" fontId="46" fillId="0" borderId="12" xfId="387" applyFont="1" applyBorder="1" applyAlignment="1">
      <alignment horizontal="left" wrapText="1"/>
    </xf>
    <xf numFmtId="0" fontId="46" fillId="0" borderId="12" xfId="387" applyFont="1" applyFill="1" applyBorder="1" applyAlignment="1">
      <alignment wrapText="1"/>
    </xf>
    <xf numFmtId="0" fontId="54" fillId="65" borderId="12" xfId="387" applyFont="1" applyFill="1" applyBorder="1" applyAlignment="1">
      <alignment wrapText="1"/>
    </xf>
    <xf numFmtId="0" fontId="46" fillId="62" borderId="12" xfId="387" applyFont="1" applyFill="1" applyBorder="1" applyAlignment="1">
      <alignment horizontal="left" wrapText="1"/>
    </xf>
    <xf numFmtId="49" fontId="54" fillId="62" borderId="12" xfId="387" applyNumberFormat="1" applyFont="1" applyFill="1" applyBorder="1" applyAlignment="1">
      <alignment horizontal="center" vertical="top" wrapText="1"/>
    </xf>
    <xf numFmtId="165" fontId="46" fillId="0" borderId="12" xfId="387" applyNumberFormat="1" applyFont="1" applyFill="1" applyBorder="1" applyAlignment="1">
      <alignment horizontal="center" vertical="top" wrapText="1"/>
    </xf>
    <xf numFmtId="49" fontId="46" fillId="0" borderId="12" xfId="387" applyNumberFormat="1" applyFont="1" applyFill="1" applyBorder="1" applyAlignment="1">
      <alignment horizontal="center" vertical="top" wrapText="1"/>
    </xf>
    <xf numFmtId="49" fontId="54" fillId="0" borderId="12" xfId="387" applyNumberFormat="1" applyFont="1" applyFill="1" applyBorder="1" applyAlignment="1">
      <alignment horizontal="center" vertical="top" wrapText="1"/>
    </xf>
    <xf numFmtId="49" fontId="54" fillId="65" borderId="12" xfId="387" applyNumberFormat="1" applyFont="1" applyFill="1" applyBorder="1" applyAlignment="1">
      <alignment horizontal="center" wrapText="1"/>
    </xf>
    <xf numFmtId="0" fontId="46" fillId="0" borderId="12" xfId="387" applyFont="1" applyBorder="1" applyAlignment="1">
      <alignment horizontal="justify"/>
    </xf>
    <xf numFmtId="0" fontId="46" fillId="0" borderId="12" xfId="387" applyFont="1" applyFill="1" applyBorder="1" applyAlignment="1">
      <alignment horizontal="left" wrapText="1"/>
    </xf>
    <xf numFmtId="49" fontId="46" fillId="0" borderId="12" xfId="387" applyNumberFormat="1" applyFont="1" applyFill="1" applyBorder="1" applyAlignment="1">
      <alignment horizontal="center" wrapText="1"/>
    </xf>
    <xf numFmtId="49" fontId="54" fillId="0" borderId="12" xfId="387" applyNumberFormat="1" applyFont="1" applyFill="1" applyBorder="1" applyAlignment="1">
      <alignment horizontal="center" wrapText="1"/>
    </xf>
    <xf numFmtId="0" fontId="63" fillId="0" borderId="12" xfId="0" applyFont="1" applyBorder="1" applyAlignment="1">
      <alignment horizontal="center" vertical="top" wrapText="1"/>
    </xf>
    <xf numFmtId="0" fontId="61" fillId="0" borderId="12" xfId="0" applyFont="1" applyBorder="1" applyAlignment="1">
      <alignment horizontal="center"/>
    </xf>
    <xf numFmtId="0" fontId="64" fillId="0" borderId="12" xfId="0" applyFont="1" applyBorder="1" applyAlignment="1">
      <alignment horizontal="center"/>
    </xf>
    <xf numFmtId="0" fontId="63" fillId="0" borderId="12" xfId="0" applyFont="1" applyBorder="1" applyAlignment="1">
      <alignment horizontal="center"/>
    </xf>
    <xf numFmtId="0" fontId="63" fillId="0" borderId="12" xfId="0" applyFont="1" applyBorder="1" applyAlignment="1">
      <alignment horizontal="center" wrapText="1"/>
    </xf>
    <xf numFmtId="0" fontId="64" fillId="0" borderId="12" xfId="0" applyFont="1" applyBorder="1" applyAlignment="1">
      <alignment horizontal="center" vertical="center" wrapText="1"/>
    </xf>
    <xf numFmtId="0" fontId="61" fillId="0" borderId="12" xfId="0" applyFont="1" applyBorder="1" applyAlignment="1">
      <alignment horizontal="center" vertical="center" wrapText="1"/>
    </xf>
    <xf numFmtId="165" fontId="64" fillId="0" borderId="12" xfId="0" applyNumberFormat="1" applyFont="1" applyBorder="1" applyAlignment="1">
      <alignment horizontal="center"/>
    </xf>
    <xf numFmtId="165" fontId="61" fillId="0" borderId="12" xfId="0" applyNumberFormat="1" applyFont="1" applyBorder="1" applyAlignment="1">
      <alignment horizontal="center"/>
    </xf>
    <xf numFmtId="165" fontId="63" fillId="0" borderId="12" xfId="0" applyNumberFormat="1" applyFont="1" applyBorder="1" applyAlignment="1">
      <alignment horizontal="center"/>
    </xf>
    <xf numFmtId="0" fontId="46" fillId="62" borderId="12" xfId="387" applyFont="1" applyFill="1" applyBorder="1" applyAlignment="1">
      <alignment wrapText="1"/>
    </xf>
    <xf numFmtId="49" fontId="46" fillId="62" borderId="12" xfId="387" applyNumberFormat="1" applyFont="1" applyFill="1" applyBorder="1" applyAlignment="1">
      <alignment horizontal="center" vertical="top" wrapText="1"/>
    </xf>
    <xf numFmtId="0" fontId="46" fillId="62" borderId="12" xfId="387" applyFont="1" applyFill="1" applyBorder="1" applyAlignment="1">
      <alignment vertical="top" wrapText="1"/>
    </xf>
    <xf numFmtId="165" fontId="46" fillId="62" borderId="12" xfId="387" applyNumberFormat="1" applyFont="1" applyFill="1" applyBorder="1" applyAlignment="1">
      <alignment horizontal="center" vertical="top" wrapText="1"/>
    </xf>
    <xf numFmtId="0" fontId="46" fillId="62" borderId="12" xfId="387" applyFont="1" applyFill="1" applyBorder="1" applyAlignment="1">
      <alignment horizontal="left" vertical="top" wrapText="1"/>
    </xf>
    <xf numFmtId="49" fontId="54" fillId="64" borderId="12" xfId="387" applyNumberFormat="1" applyFont="1" applyFill="1" applyBorder="1" applyAlignment="1">
      <alignment horizontal="center" wrapText="1"/>
    </xf>
    <xf numFmtId="49" fontId="46" fillId="62" borderId="12" xfId="387" applyNumberFormat="1" applyFont="1" applyFill="1" applyBorder="1" applyAlignment="1">
      <alignment horizontal="center" wrapText="1"/>
    </xf>
    <xf numFmtId="49" fontId="54" fillId="62" borderId="12" xfId="387" applyNumberFormat="1" applyFont="1" applyFill="1" applyBorder="1" applyAlignment="1">
      <alignment horizontal="center" wrapText="1"/>
    </xf>
    <xf numFmtId="49" fontId="54" fillId="61" borderId="12" xfId="387" applyNumberFormat="1" applyFont="1" applyFill="1" applyBorder="1" applyAlignment="1">
      <alignment horizontal="center" vertical="top" wrapText="1"/>
    </xf>
    <xf numFmtId="0" fontId="46" fillId="62" borderId="0" xfId="387" applyFont="1" applyFill="1" applyAlignment="1">
      <alignment vertical="center" wrapText="1"/>
    </xf>
    <xf numFmtId="0" fontId="61" fillId="0" borderId="0" xfId="0" applyFont="1" applyAlignment="1"/>
    <xf numFmtId="0" fontId="54" fillId="61" borderId="12" xfId="0" applyFont="1" applyFill="1" applyBorder="1" applyAlignment="1">
      <alignment vertical="top" wrapText="1"/>
    </xf>
    <xf numFmtId="165" fontId="46" fillId="62" borderId="12" xfId="387" applyNumberFormat="1" applyFont="1" applyFill="1" applyBorder="1" applyAlignment="1">
      <alignment horizontal="center" wrapText="1"/>
    </xf>
    <xf numFmtId="0" fontId="65" fillId="0" borderId="0" xfId="0" applyFont="1"/>
    <xf numFmtId="165" fontId="46" fillId="62" borderId="12" xfId="387" applyNumberFormat="1" applyFont="1" applyFill="1" applyBorder="1" applyAlignment="1">
      <alignment horizontal="center"/>
    </xf>
    <xf numFmtId="0" fontId="46" fillId="0" borderId="12" xfId="0" applyFont="1" applyFill="1" applyBorder="1" applyAlignment="1">
      <alignment vertical="top" wrapText="1"/>
    </xf>
    <xf numFmtId="0" fontId="65" fillId="0" borderId="0" xfId="0" applyFont="1" applyFill="1"/>
    <xf numFmtId="165" fontId="65" fillId="0" borderId="0" xfId="0" applyNumberFormat="1" applyFont="1"/>
    <xf numFmtId="0" fontId="65" fillId="0" borderId="0" xfId="0" applyFont="1" applyBorder="1"/>
    <xf numFmtId="0" fontId="65" fillId="68" borderId="0" xfId="0" applyFont="1" applyFill="1"/>
    <xf numFmtId="49" fontId="46" fillId="62" borderId="12" xfId="387" applyNumberFormat="1" applyFont="1" applyFill="1" applyBorder="1" applyAlignment="1">
      <alignment horizontal="center" vertical="center" wrapText="1"/>
    </xf>
    <xf numFmtId="0" fontId="46" fillId="62" borderId="12" xfId="387" applyFont="1" applyFill="1" applyBorder="1" applyAlignment="1">
      <alignment vertical="center" wrapText="1"/>
    </xf>
    <xf numFmtId="165" fontId="46" fillId="62" borderId="12" xfId="387" applyNumberFormat="1" applyFont="1" applyFill="1" applyBorder="1" applyAlignment="1">
      <alignment horizontal="center" vertical="center" wrapText="1"/>
    </xf>
    <xf numFmtId="0" fontId="67" fillId="0" borderId="0" xfId="386" applyNumberFormat="1" applyFont="1" applyFill="1" applyBorder="1" applyAlignment="1">
      <alignment horizontal="right" vertical="center"/>
    </xf>
    <xf numFmtId="0" fontId="68" fillId="0" borderId="0" xfId="386" applyNumberFormat="1" applyFont="1" applyFill="1" applyBorder="1" applyAlignment="1">
      <alignment horizontal="right" vertical="center"/>
    </xf>
    <xf numFmtId="0" fontId="54" fillId="0" borderId="0" xfId="386" applyFont="1" applyAlignment="1">
      <alignment horizontal="left"/>
    </xf>
    <xf numFmtId="0" fontId="68" fillId="0" borderId="0" xfId="386" applyFont="1" applyAlignment="1"/>
    <xf numFmtId="0" fontId="60" fillId="0" borderId="0" xfId="386"/>
    <xf numFmtId="0" fontId="68" fillId="0" borderId="0" xfId="386" applyFont="1" applyBorder="1" applyAlignment="1">
      <alignment horizontal="center" vertical="center"/>
    </xf>
    <xf numFmtId="0" fontId="68" fillId="0" borderId="0" xfId="386" applyFont="1" applyBorder="1" applyAlignment="1">
      <alignment horizontal="center" vertical="center" wrapText="1"/>
    </xf>
    <xf numFmtId="0" fontId="75" fillId="0" borderId="0" xfId="386" applyFont="1" applyBorder="1" applyAlignment="1">
      <alignment horizontal="center"/>
    </xf>
    <xf numFmtId="165" fontId="71" fillId="60" borderId="0" xfId="386" applyNumberFormat="1" applyFont="1" applyFill="1" applyBorder="1" applyAlignment="1">
      <alignment horizontal="right" wrapText="1"/>
    </xf>
    <xf numFmtId="165" fontId="76" fillId="68" borderId="0" xfId="386" applyNumberFormat="1" applyFont="1" applyFill="1" applyBorder="1" applyAlignment="1">
      <alignment horizontal="right" wrapText="1"/>
    </xf>
    <xf numFmtId="165" fontId="71" fillId="0" borderId="0" xfId="386" applyNumberFormat="1" applyFont="1" applyFill="1" applyBorder="1" applyAlignment="1">
      <alignment horizontal="right" wrapText="1"/>
    </xf>
    <xf numFmtId="165" fontId="76" fillId="0" borderId="0" xfId="386" applyNumberFormat="1" applyFont="1" applyFill="1" applyBorder="1" applyAlignment="1">
      <alignment horizontal="right" wrapText="1"/>
    </xf>
    <xf numFmtId="165" fontId="70" fillId="0" borderId="0" xfId="386" applyNumberFormat="1" applyFont="1" applyFill="1" applyBorder="1" applyAlignment="1">
      <alignment horizontal="right" wrapText="1"/>
    </xf>
    <xf numFmtId="165" fontId="70" fillId="62" borderId="0" xfId="386" applyNumberFormat="1" applyFont="1" applyFill="1" applyBorder="1" applyAlignment="1">
      <alignment horizontal="right" wrapText="1"/>
    </xf>
    <xf numFmtId="165" fontId="71" fillId="61" borderId="0" xfId="386" applyNumberFormat="1" applyFont="1" applyFill="1" applyBorder="1" applyAlignment="1">
      <alignment horizontal="right" wrapText="1"/>
    </xf>
    <xf numFmtId="165" fontId="70" fillId="68" borderId="0" xfId="386" applyNumberFormat="1" applyFont="1" applyFill="1" applyBorder="1" applyAlignment="1">
      <alignment horizontal="right" wrapText="1"/>
    </xf>
    <xf numFmtId="165" fontId="69" fillId="62" borderId="0" xfId="286" applyNumberFormat="1" applyFont="1" applyFill="1" applyBorder="1" applyAlignment="1">
      <alignment horizontal="right" vertical="center" wrapText="1"/>
    </xf>
    <xf numFmtId="165" fontId="70" fillId="62" borderId="0" xfId="286" applyNumberFormat="1" applyFont="1" applyFill="1" applyBorder="1" applyAlignment="1">
      <alignment horizontal="right" vertical="center" wrapText="1"/>
    </xf>
    <xf numFmtId="165" fontId="69" fillId="62" borderId="0" xfId="386" applyNumberFormat="1" applyFont="1" applyFill="1" applyBorder="1" applyAlignment="1">
      <alignment horizontal="right" wrapText="1"/>
    </xf>
    <xf numFmtId="165" fontId="71" fillId="62" borderId="0" xfId="386" applyNumberFormat="1" applyFont="1" applyFill="1" applyBorder="1" applyAlignment="1">
      <alignment horizontal="right" wrapText="1"/>
    </xf>
    <xf numFmtId="0" fontId="58" fillId="0" borderId="0" xfId="0" applyFont="1"/>
    <xf numFmtId="165" fontId="76" fillId="62" borderId="0" xfId="386" applyNumberFormat="1" applyFont="1" applyFill="1" applyBorder="1" applyAlignment="1">
      <alignment horizontal="right" wrapText="1"/>
    </xf>
    <xf numFmtId="165" fontId="79" fillId="62" borderId="0" xfId="286" applyNumberFormat="1" applyFont="1" applyFill="1" applyBorder="1" applyAlignment="1">
      <alignment horizontal="right" vertical="center" wrapText="1"/>
    </xf>
    <xf numFmtId="168" fontId="76" fillId="62" borderId="12" xfId="386" applyNumberFormat="1" applyFont="1" applyFill="1" applyBorder="1" applyAlignment="1">
      <alignment horizontal="justify" vertical="center" wrapText="1"/>
    </xf>
    <xf numFmtId="49" fontId="71" fillId="61" borderId="12" xfId="386" applyNumberFormat="1" applyFont="1" applyFill="1" applyBorder="1" applyAlignment="1">
      <alignment horizontal="center" vertical="center" wrapText="1"/>
    </xf>
    <xf numFmtId="168" fontId="71" fillId="61" borderId="12" xfId="386" applyNumberFormat="1" applyFont="1" applyFill="1" applyBorder="1" applyAlignment="1">
      <alignment horizontal="justify" vertical="center" wrapText="1"/>
    </xf>
    <xf numFmtId="49" fontId="76" fillId="62" borderId="12" xfId="386" applyNumberFormat="1" applyFont="1" applyFill="1" applyBorder="1" applyAlignment="1">
      <alignment horizontal="center" vertical="center" wrapText="1"/>
    </xf>
    <xf numFmtId="168" fontId="72" fillId="62" borderId="12" xfId="0" applyNumberFormat="1" applyFont="1" applyFill="1" applyBorder="1" applyAlignment="1">
      <alignment horizontal="justify" vertical="center" wrapText="1"/>
    </xf>
    <xf numFmtId="168" fontId="76" fillId="68" borderId="12" xfId="386" applyNumberFormat="1" applyFont="1" applyFill="1" applyBorder="1" applyAlignment="1">
      <alignment horizontal="justify" vertical="center" wrapText="1"/>
    </xf>
    <xf numFmtId="168" fontId="71" fillId="0" borderId="12" xfId="386" applyNumberFormat="1" applyFont="1" applyFill="1" applyBorder="1" applyAlignment="1">
      <alignment horizontal="justify" vertical="center" wrapText="1"/>
    </xf>
    <xf numFmtId="168" fontId="69" fillId="0" borderId="12" xfId="386" applyNumberFormat="1" applyFont="1" applyFill="1" applyBorder="1" applyAlignment="1">
      <alignment horizontal="justify" vertical="center" wrapText="1"/>
    </xf>
    <xf numFmtId="168" fontId="70" fillId="0" borderId="12" xfId="386" applyNumberFormat="1" applyFont="1" applyFill="1" applyBorder="1" applyAlignment="1">
      <alignment horizontal="justify" vertical="center" wrapText="1"/>
    </xf>
    <xf numFmtId="168" fontId="69" fillId="62" borderId="12" xfId="386" applyNumberFormat="1" applyFont="1" applyFill="1" applyBorder="1" applyAlignment="1">
      <alignment horizontal="justify" vertical="center" wrapText="1"/>
    </xf>
    <xf numFmtId="0" fontId="77" fillId="62" borderId="12" xfId="0" applyFont="1" applyFill="1" applyBorder="1" applyAlignment="1">
      <alignment wrapText="1"/>
    </xf>
    <xf numFmtId="0" fontId="78" fillId="62" borderId="12" xfId="0" applyFont="1" applyFill="1" applyBorder="1" applyAlignment="1">
      <alignment wrapText="1"/>
    </xf>
    <xf numFmtId="0" fontId="77" fillId="62" borderId="12" xfId="0" applyFont="1" applyFill="1" applyBorder="1" applyAlignment="1">
      <alignment vertical="center" wrapText="1"/>
    </xf>
    <xf numFmtId="0" fontId="78" fillId="62" borderId="12" xfId="0" applyFont="1" applyFill="1" applyBorder="1" applyAlignment="1">
      <alignment vertical="center" wrapText="1"/>
    </xf>
    <xf numFmtId="0" fontId="60" fillId="0" borderId="0" xfId="386" applyAlignment="1">
      <alignment horizontal="center" vertical="center"/>
    </xf>
    <xf numFmtId="0" fontId="0" fillId="0" borderId="0" xfId="0" applyAlignment="1">
      <alignment horizontal="center" vertical="center"/>
    </xf>
    <xf numFmtId="168" fontId="72" fillId="0" borderId="0" xfId="386" applyNumberFormat="1" applyFont="1" applyFill="1" applyBorder="1" applyAlignment="1">
      <alignment horizontal="center" vertical="center" wrapText="1"/>
    </xf>
    <xf numFmtId="0" fontId="68" fillId="0" borderId="12" xfId="386" applyFont="1" applyBorder="1" applyAlignment="1">
      <alignment horizontal="center" vertical="center"/>
    </xf>
    <xf numFmtId="49" fontId="74" fillId="0" borderId="20" xfId="386" applyNumberFormat="1" applyFont="1" applyFill="1" applyBorder="1" applyAlignment="1">
      <alignment horizontal="center" vertical="center"/>
    </xf>
    <xf numFmtId="0" fontId="75" fillId="0" borderId="20" xfId="386" applyFont="1" applyBorder="1" applyAlignment="1">
      <alignment horizontal="center" vertical="center"/>
    </xf>
    <xf numFmtId="49" fontId="69" fillId="60" borderId="12" xfId="386" applyNumberFormat="1" applyFont="1" applyFill="1" applyBorder="1" applyAlignment="1">
      <alignment horizontal="center" vertical="center" wrapText="1"/>
    </xf>
    <xf numFmtId="168" fontId="71" fillId="60" borderId="12" xfId="386" applyNumberFormat="1" applyFont="1" applyFill="1" applyBorder="1" applyAlignment="1">
      <alignment horizontal="justify" vertical="center" wrapText="1"/>
    </xf>
    <xf numFmtId="165" fontId="71" fillId="60" borderId="12" xfId="386" applyNumberFormat="1" applyFont="1" applyFill="1" applyBorder="1" applyAlignment="1">
      <alignment horizontal="center" vertical="center" wrapText="1"/>
    </xf>
    <xf numFmtId="49" fontId="76" fillId="68" borderId="12" xfId="386" applyNumberFormat="1" applyFont="1" applyFill="1" applyBorder="1" applyAlignment="1">
      <alignment horizontal="center" vertical="center" wrapText="1"/>
    </xf>
    <xf numFmtId="165" fontId="76" fillId="68" borderId="12" xfId="386" applyNumberFormat="1" applyFont="1" applyFill="1" applyBorder="1" applyAlignment="1">
      <alignment horizontal="center" vertical="center" wrapText="1"/>
    </xf>
    <xf numFmtId="49" fontId="71" fillId="0" borderId="12" xfId="386" applyNumberFormat="1" applyFont="1" applyFill="1" applyBorder="1" applyAlignment="1">
      <alignment horizontal="center" vertical="center" wrapText="1"/>
    </xf>
    <xf numFmtId="165" fontId="71" fillId="0" borderId="12" xfId="386" applyNumberFormat="1" applyFont="1" applyFill="1" applyBorder="1" applyAlignment="1">
      <alignment horizontal="center" vertical="center" wrapText="1"/>
    </xf>
    <xf numFmtId="49" fontId="76" fillId="0" borderId="12" xfId="386" applyNumberFormat="1" applyFont="1" applyFill="1" applyBorder="1" applyAlignment="1">
      <alignment horizontal="center" vertical="center" wrapText="1"/>
    </xf>
    <xf numFmtId="168" fontId="76" fillId="0" borderId="12" xfId="386" applyNumberFormat="1" applyFont="1" applyFill="1" applyBorder="1" applyAlignment="1">
      <alignment horizontal="justify" vertical="center" wrapText="1"/>
    </xf>
    <xf numFmtId="165" fontId="76" fillId="0" borderId="12" xfId="386" applyNumberFormat="1" applyFont="1" applyFill="1" applyBorder="1" applyAlignment="1">
      <alignment horizontal="center" vertical="center" wrapText="1"/>
    </xf>
    <xf numFmtId="49" fontId="70" fillId="0" borderId="12" xfId="386" applyNumberFormat="1" applyFont="1" applyFill="1" applyBorder="1" applyAlignment="1">
      <alignment horizontal="center" vertical="center" wrapText="1"/>
    </xf>
    <xf numFmtId="165" fontId="70" fillId="0" borderId="12" xfId="386" applyNumberFormat="1" applyFont="1" applyFill="1" applyBorder="1" applyAlignment="1">
      <alignment horizontal="center" vertical="center" wrapText="1"/>
    </xf>
    <xf numFmtId="165" fontId="70" fillId="62" borderId="12" xfId="386" applyNumberFormat="1" applyFont="1" applyFill="1" applyBorder="1" applyAlignment="1">
      <alignment horizontal="center" vertical="center" wrapText="1"/>
    </xf>
    <xf numFmtId="49" fontId="71" fillId="60" borderId="12" xfId="386" applyNumberFormat="1" applyFont="1" applyFill="1" applyBorder="1" applyAlignment="1">
      <alignment horizontal="center" vertical="center" wrapText="1"/>
    </xf>
    <xf numFmtId="165" fontId="71" fillId="61" borderId="12" xfId="386" applyNumberFormat="1" applyFont="1" applyFill="1" applyBorder="1" applyAlignment="1">
      <alignment horizontal="center" vertical="center" wrapText="1"/>
    </xf>
    <xf numFmtId="49" fontId="76" fillId="68" borderId="12" xfId="0" applyNumberFormat="1" applyFont="1" applyFill="1" applyBorder="1" applyAlignment="1">
      <alignment horizontal="center" vertical="center" wrapText="1"/>
    </xf>
    <xf numFmtId="165" fontId="70" fillId="68" borderId="12" xfId="386" applyNumberFormat="1" applyFont="1" applyFill="1" applyBorder="1" applyAlignment="1">
      <alignment horizontal="center" vertical="center" wrapText="1"/>
    </xf>
    <xf numFmtId="165" fontId="69" fillId="62" borderId="12" xfId="286" applyNumberFormat="1" applyFont="1" applyFill="1" applyBorder="1" applyAlignment="1">
      <alignment horizontal="center" vertical="center" wrapText="1"/>
    </xf>
    <xf numFmtId="49" fontId="69" fillId="62" borderId="12" xfId="386" applyNumberFormat="1" applyFont="1" applyFill="1" applyBorder="1" applyAlignment="1">
      <alignment horizontal="center" vertical="center" wrapText="1"/>
    </xf>
    <xf numFmtId="165" fontId="69" fillId="62" borderId="12" xfId="386" applyNumberFormat="1" applyFont="1" applyFill="1" applyBorder="1" applyAlignment="1">
      <alignment horizontal="center" vertical="center" wrapText="1"/>
    </xf>
    <xf numFmtId="165" fontId="71" fillId="62" borderId="12" xfId="386" applyNumberFormat="1" applyFont="1" applyFill="1" applyBorder="1" applyAlignment="1">
      <alignment horizontal="center" vertical="center" wrapText="1"/>
    </xf>
    <xf numFmtId="165" fontId="76" fillId="62" borderId="12" xfId="386" applyNumberFormat="1" applyFont="1" applyFill="1" applyBorder="1" applyAlignment="1">
      <alignment horizontal="center" vertical="center" wrapText="1"/>
    </xf>
    <xf numFmtId="0" fontId="77" fillId="62" borderId="12" xfId="0" applyFont="1" applyFill="1" applyBorder="1" applyAlignment="1">
      <alignment horizontal="center" vertical="center" wrapText="1"/>
    </xf>
    <xf numFmtId="0" fontId="78" fillId="62" borderId="12" xfId="0" applyFont="1" applyFill="1" applyBorder="1" applyAlignment="1">
      <alignment horizontal="center" vertical="center" wrapText="1"/>
    </xf>
    <xf numFmtId="0" fontId="81" fillId="62" borderId="12" xfId="0" applyFont="1" applyFill="1" applyBorder="1" applyAlignment="1">
      <alignment vertical="center" wrapText="1"/>
    </xf>
    <xf numFmtId="165" fontId="53" fillId="62" borderId="12" xfId="286" applyNumberFormat="1" applyFont="1" applyFill="1" applyBorder="1" applyAlignment="1">
      <alignment horizontal="center" vertical="center" wrapText="1"/>
    </xf>
    <xf numFmtId="0" fontId="81" fillId="62" borderId="12" xfId="0" applyFont="1" applyFill="1" applyBorder="1" applyAlignment="1">
      <alignment wrapText="1"/>
    </xf>
    <xf numFmtId="165" fontId="72" fillId="62" borderId="12" xfId="386" applyNumberFormat="1" applyFont="1" applyFill="1" applyBorder="1" applyAlignment="1">
      <alignment horizontal="center" vertical="center" wrapText="1"/>
    </xf>
    <xf numFmtId="168" fontId="72" fillId="62" borderId="12" xfId="386" applyNumberFormat="1" applyFont="1" applyFill="1" applyBorder="1" applyAlignment="1">
      <alignment horizontal="justify" vertical="center" wrapText="1"/>
    </xf>
    <xf numFmtId="49" fontId="69" fillId="62" borderId="12" xfId="0" applyNumberFormat="1" applyFont="1" applyFill="1" applyBorder="1" applyAlignment="1">
      <alignment horizontal="center" vertical="center" wrapText="1"/>
    </xf>
    <xf numFmtId="168" fontId="69" fillId="62" borderId="12" xfId="0" applyNumberFormat="1" applyFont="1" applyFill="1" applyBorder="1" applyAlignment="1">
      <alignment horizontal="justify" vertical="center" wrapText="1"/>
    </xf>
    <xf numFmtId="49" fontId="76" fillId="62" borderId="12" xfId="0" applyNumberFormat="1" applyFont="1" applyFill="1" applyBorder="1" applyAlignment="1">
      <alignment horizontal="center" vertical="center" wrapText="1"/>
    </xf>
    <xf numFmtId="168" fontId="76" fillId="62" borderId="12" xfId="0" applyNumberFormat="1" applyFont="1" applyFill="1" applyBorder="1" applyAlignment="1">
      <alignment horizontal="justify" vertical="center" wrapText="1"/>
    </xf>
    <xf numFmtId="165" fontId="79" fillId="62" borderId="12" xfId="286" applyNumberFormat="1" applyFont="1" applyFill="1" applyBorder="1" applyAlignment="1">
      <alignment horizontal="center" vertical="center" wrapText="1"/>
    </xf>
    <xf numFmtId="168" fontId="70" fillId="62" borderId="12" xfId="0" applyNumberFormat="1" applyFont="1" applyFill="1" applyBorder="1" applyAlignment="1">
      <alignment horizontal="justify" vertical="center" wrapText="1"/>
    </xf>
    <xf numFmtId="168" fontId="53" fillId="62" borderId="12" xfId="0" applyNumberFormat="1" applyFont="1" applyFill="1" applyBorder="1" applyAlignment="1">
      <alignment horizontal="justify" vertical="center" wrapText="1"/>
    </xf>
    <xf numFmtId="168" fontId="76" fillId="68" borderId="12" xfId="386" applyNumberFormat="1" applyFont="1" applyFill="1" applyBorder="1" applyAlignment="1">
      <alignment vertical="justify" wrapText="1"/>
    </xf>
    <xf numFmtId="168" fontId="69" fillId="62" borderId="12" xfId="386" applyNumberFormat="1" applyFont="1" applyFill="1" applyBorder="1" applyAlignment="1">
      <alignment vertical="justify" wrapText="1"/>
    </xf>
    <xf numFmtId="0" fontId="81" fillId="0" borderId="12" xfId="0" applyFont="1" applyBorder="1" applyAlignment="1">
      <alignment vertical="center" wrapText="1"/>
    </xf>
    <xf numFmtId="0" fontId="81" fillId="0" borderId="12" xfId="0" applyFont="1" applyBorder="1" applyAlignment="1">
      <alignment wrapText="1"/>
    </xf>
    <xf numFmtId="0" fontId="78" fillId="0" borderId="12" xfId="0" applyFont="1" applyBorder="1" applyAlignment="1">
      <alignment wrapText="1"/>
    </xf>
    <xf numFmtId="49" fontId="71" fillId="62" borderId="12" xfId="386" applyNumberFormat="1" applyFont="1" applyFill="1" applyBorder="1" applyAlignment="1">
      <alignment horizontal="center" vertical="center" wrapText="1"/>
    </xf>
    <xf numFmtId="49" fontId="71" fillId="62" borderId="12" xfId="0" applyNumberFormat="1" applyFont="1" applyFill="1" applyBorder="1" applyAlignment="1">
      <alignment horizontal="center" vertical="center" wrapText="1"/>
    </xf>
    <xf numFmtId="168" fontId="82" fillId="62" borderId="12" xfId="0" applyNumberFormat="1" applyFont="1" applyFill="1" applyBorder="1" applyAlignment="1">
      <alignment horizontal="justify" vertical="center" wrapText="1"/>
    </xf>
    <xf numFmtId="168" fontId="76" fillId="68" borderId="12" xfId="0" applyNumberFormat="1" applyFont="1" applyFill="1" applyBorder="1" applyAlignment="1">
      <alignment horizontal="justify" vertical="center" wrapText="1"/>
    </xf>
    <xf numFmtId="169" fontId="71" fillId="61" borderId="12" xfId="386" applyNumberFormat="1" applyFont="1" applyFill="1" applyBorder="1" applyAlignment="1">
      <alignment horizontal="center" vertical="center" wrapText="1"/>
    </xf>
    <xf numFmtId="165" fontId="80" fillId="61" borderId="12" xfId="286" applyNumberFormat="1" applyFont="1" applyFill="1" applyBorder="1" applyAlignment="1">
      <alignment horizontal="center" vertical="center" wrapText="1"/>
    </xf>
    <xf numFmtId="0" fontId="46" fillId="62" borderId="0" xfId="387" applyFont="1" applyFill="1" applyAlignment="1">
      <alignment horizontal="right" vertical="center" wrapText="1"/>
    </xf>
    <xf numFmtId="0" fontId="62" fillId="0" borderId="0" xfId="387" applyFont="1" applyFill="1" applyBorder="1" applyAlignment="1">
      <alignment vertical="center" wrapText="1"/>
    </xf>
    <xf numFmtId="0" fontId="84" fillId="0" borderId="0" xfId="387" applyFont="1"/>
    <xf numFmtId="0" fontId="56" fillId="0" borderId="0" xfId="0" applyFont="1"/>
    <xf numFmtId="0" fontId="62" fillId="0" borderId="0" xfId="387" applyFont="1" applyFill="1" applyBorder="1" applyAlignment="1">
      <alignment horizontal="right" vertical="center" wrapText="1"/>
    </xf>
    <xf numFmtId="0" fontId="85" fillId="0" borderId="12" xfId="387" applyFont="1" applyFill="1" applyBorder="1" applyAlignment="1">
      <alignment horizontal="center" wrapText="1"/>
    </xf>
    <xf numFmtId="0" fontId="86" fillId="62" borderId="12" xfId="387" applyFont="1" applyFill="1" applyBorder="1" applyAlignment="1">
      <alignment horizontal="center" wrapText="1"/>
    </xf>
    <xf numFmtId="0" fontId="86" fillId="62" borderId="12" xfId="387" applyFont="1" applyFill="1" applyBorder="1" applyAlignment="1">
      <alignment wrapText="1"/>
    </xf>
    <xf numFmtId="165" fontId="83" fillId="62" borderId="12" xfId="387" applyNumberFormat="1" applyFont="1" applyFill="1" applyBorder="1" applyAlignment="1">
      <alignment horizontal="center" wrapText="1"/>
    </xf>
    <xf numFmtId="49" fontId="83" fillId="69" borderId="12" xfId="387" applyNumberFormat="1" applyFont="1" applyFill="1" applyBorder="1" applyAlignment="1">
      <alignment horizontal="center" wrapText="1"/>
    </xf>
    <xf numFmtId="49" fontId="83" fillId="69" borderId="12" xfId="387" applyNumberFormat="1" applyFont="1" applyFill="1" applyBorder="1" applyAlignment="1">
      <alignment wrapText="1"/>
    </xf>
    <xf numFmtId="165" fontId="83" fillId="69" borderId="12" xfId="387" applyNumberFormat="1" applyFont="1" applyFill="1" applyBorder="1" applyAlignment="1">
      <alignment horizontal="center" wrapText="1"/>
    </xf>
    <xf numFmtId="49" fontId="83" fillId="63" borderId="12" xfId="387" applyNumberFormat="1" applyFont="1" applyFill="1" applyBorder="1" applyAlignment="1">
      <alignment horizontal="center" wrapText="1"/>
    </xf>
    <xf numFmtId="0" fontId="83" fillId="63" borderId="12" xfId="387" applyFont="1" applyFill="1" applyBorder="1" applyAlignment="1">
      <alignment wrapText="1"/>
    </xf>
    <xf numFmtId="165" fontId="83" fillId="63" borderId="12" xfId="387" applyNumberFormat="1" applyFont="1" applyFill="1" applyBorder="1" applyAlignment="1">
      <alignment horizontal="center" wrapText="1"/>
    </xf>
    <xf numFmtId="49" fontId="83" fillId="64" borderId="12" xfId="387" applyNumberFormat="1" applyFont="1" applyFill="1" applyBorder="1" applyAlignment="1">
      <alignment horizontal="center" wrapText="1"/>
    </xf>
    <xf numFmtId="0" fontId="83" fillId="64" borderId="12" xfId="387" applyFont="1" applyFill="1" applyBorder="1" applyAlignment="1">
      <alignment wrapText="1"/>
    </xf>
    <xf numFmtId="165" fontId="83" fillId="64" borderId="12" xfId="387" applyNumberFormat="1" applyFont="1" applyFill="1" applyBorder="1" applyAlignment="1">
      <alignment horizontal="center" wrapText="1"/>
    </xf>
    <xf numFmtId="49" fontId="62" fillId="62" borderId="12" xfId="387" applyNumberFormat="1" applyFont="1" applyFill="1" applyBorder="1" applyAlignment="1">
      <alignment horizontal="center" wrapText="1"/>
    </xf>
    <xf numFmtId="49" fontId="83" fillId="62" borderId="12" xfId="387" applyNumberFormat="1" applyFont="1" applyFill="1" applyBorder="1" applyAlignment="1">
      <alignment horizontal="center" wrapText="1"/>
    </xf>
    <xf numFmtId="0" fontId="62" fillId="62" borderId="12" xfId="387" applyFont="1" applyFill="1" applyBorder="1" applyAlignment="1">
      <alignment wrapText="1"/>
    </xf>
    <xf numFmtId="165" fontId="62" fillId="62" borderId="12" xfId="387" applyNumberFormat="1" applyFont="1" applyFill="1" applyBorder="1" applyAlignment="1">
      <alignment horizontal="center" wrapText="1"/>
    </xf>
    <xf numFmtId="165" fontId="83" fillId="64" borderId="12" xfId="387" applyNumberFormat="1" applyFont="1" applyFill="1" applyBorder="1" applyAlignment="1">
      <alignment horizontal="center"/>
    </xf>
    <xf numFmtId="0" fontId="62" fillId="0" borderId="12" xfId="387" applyFont="1" applyBorder="1" applyAlignment="1">
      <alignment wrapText="1"/>
    </xf>
    <xf numFmtId="0" fontId="83" fillId="63" borderId="12" xfId="0" applyFont="1" applyFill="1" applyBorder="1" applyAlignment="1">
      <alignment wrapText="1"/>
    </xf>
    <xf numFmtId="49" fontId="62" fillId="64" borderId="12" xfId="387" applyNumberFormat="1" applyFont="1" applyFill="1" applyBorder="1" applyAlignment="1">
      <alignment horizontal="center" wrapText="1"/>
    </xf>
    <xf numFmtId="165" fontId="62" fillId="62" borderId="12" xfId="387" applyNumberFormat="1" applyFont="1" applyFill="1" applyBorder="1" applyAlignment="1">
      <alignment horizontal="center"/>
    </xf>
    <xf numFmtId="0" fontId="83" fillId="69" borderId="12" xfId="387" applyFont="1" applyFill="1" applyBorder="1" applyAlignment="1">
      <alignment wrapText="1"/>
    </xf>
    <xf numFmtId="165" fontId="84" fillId="0" borderId="0" xfId="387" applyNumberFormat="1" applyFont="1"/>
    <xf numFmtId="165" fontId="62" fillId="62" borderId="0" xfId="387" applyNumberFormat="1" applyFont="1" applyFill="1" applyBorder="1" applyAlignment="1">
      <alignment horizontal="center" wrapText="1"/>
    </xf>
    <xf numFmtId="49" fontId="83" fillId="0" borderId="12" xfId="387" applyNumberFormat="1" applyFont="1" applyFill="1" applyBorder="1" applyAlignment="1">
      <alignment horizontal="center" vertical="top" wrapText="1"/>
    </xf>
    <xf numFmtId="165" fontId="62" fillId="62" borderId="21" xfId="387" applyNumberFormat="1" applyFont="1" applyFill="1" applyBorder="1" applyAlignment="1">
      <alignment horizontal="center" wrapText="1"/>
    </xf>
    <xf numFmtId="0" fontId="62" fillId="62" borderId="12" xfId="387" applyFont="1" applyFill="1" applyBorder="1" applyAlignment="1">
      <alignment horizontal="center"/>
    </xf>
    <xf numFmtId="49" fontId="62" fillId="62" borderId="19" xfId="0" applyNumberFormat="1" applyFont="1" applyFill="1" applyBorder="1" applyAlignment="1">
      <alignment horizontal="center" wrapText="1"/>
    </xf>
    <xf numFmtId="0" fontId="62" fillId="62" borderId="19" xfId="0" applyFont="1" applyFill="1" applyBorder="1" applyAlignment="1">
      <alignment wrapText="1"/>
    </xf>
    <xf numFmtId="49" fontId="62" fillId="62" borderId="12" xfId="387" applyNumberFormat="1" applyFont="1" applyFill="1" applyBorder="1" applyAlignment="1">
      <alignment horizontal="center" vertical="center" wrapText="1"/>
    </xf>
    <xf numFmtId="0" fontId="62" fillId="62" borderId="12" xfId="387" applyFont="1" applyFill="1" applyBorder="1" applyAlignment="1">
      <alignment vertical="center" wrapText="1"/>
    </xf>
    <xf numFmtId="165" fontId="62" fillId="62" borderId="12" xfId="387" applyNumberFormat="1" applyFont="1" applyFill="1" applyBorder="1" applyAlignment="1">
      <alignment horizontal="center" vertical="center" wrapText="1"/>
    </xf>
    <xf numFmtId="49" fontId="83" fillId="62" borderId="12" xfId="387" applyNumberFormat="1" applyFont="1" applyFill="1" applyBorder="1" applyAlignment="1">
      <alignment horizontal="center" vertical="center" wrapText="1"/>
    </xf>
    <xf numFmtId="49" fontId="62" fillId="63" borderId="12" xfId="387" applyNumberFormat="1" applyFont="1" applyFill="1" applyBorder="1" applyAlignment="1">
      <alignment horizontal="center" wrapText="1"/>
    </xf>
    <xf numFmtId="0" fontId="83" fillId="63" borderId="12" xfId="387" applyFont="1" applyFill="1" applyBorder="1" applyAlignment="1">
      <alignment horizontal="justify"/>
    </xf>
    <xf numFmtId="0" fontId="62" fillId="0" borderId="12" xfId="387" applyFont="1" applyBorder="1" applyAlignment="1">
      <alignment horizontal="justify"/>
    </xf>
    <xf numFmtId="0" fontId="62" fillId="62" borderId="12" xfId="387" applyNumberFormat="1" applyFont="1" applyFill="1" applyBorder="1" applyAlignment="1">
      <alignment horizontal="center" vertical="top" wrapText="1"/>
    </xf>
    <xf numFmtId="165" fontId="62" fillId="0" borderId="12" xfId="387" applyNumberFormat="1" applyFont="1" applyFill="1" applyBorder="1" applyAlignment="1">
      <alignment horizontal="center" wrapText="1"/>
    </xf>
    <xf numFmtId="0" fontId="62" fillId="62" borderId="12" xfId="286" applyFont="1" applyFill="1" applyBorder="1" applyAlignment="1">
      <alignment wrapText="1"/>
    </xf>
    <xf numFmtId="0" fontId="56" fillId="62" borderId="0" xfId="0" applyFont="1" applyFill="1"/>
    <xf numFmtId="0" fontId="56" fillId="69" borderId="0" xfId="0" applyFont="1" applyFill="1"/>
    <xf numFmtId="0" fontId="62" fillId="62" borderId="12" xfId="387" applyFont="1" applyFill="1" applyBorder="1" applyAlignment="1">
      <alignment horizontal="justify"/>
    </xf>
    <xf numFmtId="0" fontId="83" fillId="64" borderId="12" xfId="0" applyFont="1" applyFill="1" applyBorder="1" applyAlignment="1">
      <alignment wrapText="1"/>
    </xf>
    <xf numFmtId="0" fontId="62" fillId="62" borderId="12" xfId="387" applyFont="1" applyFill="1" applyBorder="1" applyAlignment="1">
      <alignment vertical="top" wrapText="1"/>
    </xf>
    <xf numFmtId="0" fontId="62" fillId="0" borderId="12" xfId="0" applyFont="1" applyFill="1" applyBorder="1" applyAlignment="1">
      <alignment vertical="top" wrapText="1"/>
    </xf>
    <xf numFmtId="165" fontId="62" fillId="0" borderId="12" xfId="387" applyNumberFormat="1" applyFont="1" applyFill="1" applyBorder="1" applyAlignment="1">
      <alignment horizontal="center" vertical="top" wrapText="1"/>
    </xf>
    <xf numFmtId="0" fontId="56" fillId="0" borderId="0" xfId="0" applyFont="1" applyFill="1"/>
    <xf numFmtId="49" fontId="62" fillId="62" borderId="12" xfId="387" applyNumberFormat="1" applyFont="1" applyFill="1" applyBorder="1" applyAlignment="1">
      <alignment horizontal="center" vertical="top" wrapText="1"/>
    </xf>
    <xf numFmtId="49" fontId="62" fillId="0" borderId="12" xfId="387" applyNumberFormat="1" applyFont="1" applyFill="1" applyBorder="1" applyAlignment="1">
      <alignment horizontal="center" wrapText="1"/>
    </xf>
    <xf numFmtId="0" fontId="62" fillId="0" borderId="12" xfId="387" applyFont="1" applyFill="1" applyBorder="1" applyAlignment="1">
      <alignment wrapText="1"/>
    </xf>
    <xf numFmtId="0" fontId="62" fillId="62" borderId="12" xfId="387" applyFont="1" applyFill="1" applyBorder="1" applyAlignment="1">
      <alignment horizontal="left" vertical="top" wrapText="1"/>
    </xf>
    <xf numFmtId="49" fontId="83" fillId="62" borderId="12" xfId="387" applyNumberFormat="1" applyFont="1" applyFill="1" applyBorder="1" applyAlignment="1">
      <alignment horizontal="center" vertical="top" wrapText="1"/>
    </xf>
    <xf numFmtId="0" fontId="83" fillId="64" borderId="12" xfId="387" applyFont="1" applyFill="1" applyBorder="1" applyAlignment="1">
      <alignment horizontal="left" wrapText="1"/>
    </xf>
    <xf numFmtId="0" fontId="62" fillId="0" borderId="12" xfId="387" applyFont="1" applyBorder="1" applyAlignment="1">
      <alignment horizontal="left" wrapText="1"/>
    </xf>
    <xf numFmtId="0" fontId="85" fillId="62" borderId="12" xfId="387" applyFont="1" applyFill="1" applyBorder="1" applyAlignment="1">
      <alignment horizontal="left" wrapText="1"/>
    </xf>
    <xf numFmtId="165" fontId="56" fillId="0" borderId="0" xfId="0" applyNumberFormat="1" applyFont="1"/>
    <xf numFmtId="0" fontId="83" fillId="63" borderId="12" xfId="387" applyFont="1" applyFill="1" applyBorder="1" applyAlignment="1">
      <alignment horizontal="left" wrapText="1"/>
    </xf>
    <xf numFmtId="0" fontId="56" fillId="0" borderId="0" xfId="0" applyFont="1" applyBorder="1"/>
    <xf numFmtId="165" fontId="62" fillId="64" borderId="12" xfId="387" applyNumberFormat="1" applyFont="1" applyFill="1" applyBorder="1" applyAlignment="1">
      <alignment horizontal="center" wrapText="1"/>
    </xf>
    <xf numFmtId="49" fontId="83" fillId="0" borderId="12" xfId="387" applyNumberFormat="1" applyFont="1" applyFill="1" applyBorder="1" applyAlignment="1">
      <alignment horizontal="center" wrapText="1"/>
    </xf>
    <xf numFmtId="0" fontId="62" fillId="0" borderId="12" xfId="387" applyFont="1" applyFill="1" applyBorder="1" applyAlignment="1">
      <alignment horizontal="left" wrapText="1"/>
    </xf>
    <xf numFmtId="49" fontId="62" fillId="0" borderId="12" xfId="387" applyNumberFormat="1" applyFont="1" applyFill="1" applyBorder="1" applyAlignment="1">
      <alignment horizontal="center" vertical="top" wrapText="1"/>
    </xf>
    <xf numFmtId="0" fontId="62" fillId="62" borderId="12" xfId="387" applyFont="1" applyFill="1" applyBorder="1" applyAlignment="1">
      <alignment horizontal="left" wrapText="1"/>
    </xf>
    <xf numFmtId="165" fontId="62" fillId="62" borderId="12" xfId="387" applyNumberFormat="1" applyFont="1" applyFill="1" applyBorder="1" applyAlignment="1">
      <alignment horizontal="center" vertical="top" wrapText="1"/>
    </xf>
    <xf numFmtId="0" fontId="83" fillId="64" borderId="12" xfId="387" applyFont="1" applyFill="1" applyBorder="1" applyAlignment="1">
      <alignment horizontal="justify" wrapText="1"/>
    </xf>
    <xf numFmtId="49" fontId="62" fillId="69" borderId="12" xfId="387" applyNumberFormat="1" applyFont="1" applyFill="1" applyBorder="1" applyAlignment="1">
      <alignment horizontal="center" wrapText="1"/>
    </xf>
    <xf numFmtId="0" fontId="62" fillId="0" borderId="12" xfId="387" applyFont="1" applyBorder="1" applyAlignment="1"/>
    <xf numFmtId="0" fontId="62" fillId="0" borderId="12" xfId="387" applyFont="1" applyBorder="1" applyAlignment="1">
      <alignment horizontal="justify" wrapText="1"/>
    </xf>
    <xf numFmtId="165" fontId="83" fillId="64" borderId="12" xfId="0" applyNumberFormat="1" applyFont="1" applyFill="1" applyBorder="1" applyAlignment="1">
      <alignment horizontal="center"/>
    </xf>
    <xf numFmtId="49" fontId="83" fillId="60" borderId="12" xfId="387" applyNumberFormat="1" applyFont="1" applyFill="1" applyBorder="1" applyAlignment="1">
      <alignment horizontal="center" wrapText="1"/>
    </xf>
    <xf numFmtId="0" fontId="83" fillId="60" borderId="12" xfId="387" applyFont="1" applyFill="1" applyBorder="1" applyAlignment="1">
      <alignment wrapText="1"/>
    </xf>
    <xf numFmtId="165" fontId="83" fillId="60" borderId="12" xfId="387" applyNumberFormat="1" applyFont="1" applyFill="1" applyBorder="1" applyAlignment="1">
      <alignment horizontal="center" wrapText="1"/>
    </xf>
    <xf numFmtId="49" fontId="83" fillId="67" borderId="12" xfId="387" applyNumberFormat="1" applyFont="1" applyFill="1" applyBorder="1" applyAlignment="1">
      <alignment horizontal="center" wrapText="1"/>
    </xf>
    <xf numFmtId="49" fontId="62" fillId="67" borderId="12" xfId="387" applyNumberFormat="1" applyFont="1" applyFill="1" applyBorder="1" applyAlignment="1">
      <alignment horizontal="center" wrapText="1"/>
    </xf>
    <xf numFmtId="0" fontId="83" fillId="67" borderId="12" xfId="387" applyFont="1" applyFill="1" applyBorder="1" applyAlignment="1">
      <alignment wrapText="1"/>
    </xf>
    <xf numFmtId="165" fontId="83" fillId="67" borderId="12" xfId="387" applyNumberFormat="1" applyFont="1" applyFill="1" applyBorder="1" applyAlignment="1">
      <alignment horizontal="center" wrapText="1"/>
    </xf>
    <xf numFmtId="0" fontId="62" fillId="60" borderId="12" xfId="387" applyFont="1" applyFill="1" applyBorder="1" applyAlignment="1">
      <alignment horizontal="center" wrapText="1"/>
    </xf>
    <xf numFmtId="165" fontId="83" fillId="60" borderId="12" xfId="387" applyNumberFormat="1" applyFont="1" applyFill="1" applyBorder="1" applyAlignment="1">
      <alignment horizontal="center"/>
    </xf>
    <xf numFmtId="0" fontId="83" fillId="0" borderId="0" xfId="387" applyFont="1" applyFill="1" applyBorder="1" applyAlignment="1">
      <alignment vertical="top" wrapText="1"/>
    </xf>
    <xf numFmtId="165" fontId="87" fillId="0" borderId="0" xfId="0" applyNumberFormat="1" applyFont="1" applyAlignment="1">
      <alignment horizontal="center"/>
    </xf>
    <xf numFmtId="0" fontId="46" fillId="62" borderId="12" xfId="387" applyFont="1" applyFill="1" applyBorder="1" applyAlignment="1">
      <alignment horizontal="center" vertical="top" wrapText="1"/>
    </xf>
    <xf numFmtId="0" fontId="54" fillId="60" borderId="12" xfId="387" applyFont="1" applyFill="1" applyBorder="1" applyAlignment="1">
      <alignment horizontal="center" vertical="top" wrapText="1"/>
    </xf>
    <xf numFmtId="0" fontId="54" fillId="60" borderId="12" xfId="387" applyFont="1" applyFill="1" applyBorder="1" applyAlignment="1">
      <alignment vertical="top" wrapText="1"/>
    </xf>
    <xf numFmtId="165" fontId="54" fillId="60" borderId="12" xfId="387" applyNumberFormat="1" applyFont="1" applyFill="1" applyBorder="1" applyAlignment="1">
      <alignment horizontal="center" vertical="top" wrapText="1"/>
    </xf>
    <xf numFmtId="0" fontId="54" fillId="62" borderId="12" xfId="387" applyFont="1" applyFill="1" applyBorder="1" applyAlignment="1">
      <alignment horizontal="center" vertical="top" wrapText="1"/>
    </xf>
    <xf numFmtId="0" fontId="54" fillId="62" borderId="12" xfId="387" applyNumberFormat="1" applyFont="1" applyFill="1" applyBorder="1" applyAlignment="1">
      <alignment horizontal="center" vertical="top" wrapText="1"/>
    </xf>
    <xf numFmtId="0" fontId="54" fillId="62" borderId="12" xfId="387" applyFont="1" applyFill="1" applyBorder="1" applyAlignment="1">
      <alignment vertical="top" wrapText="1"/>
    </xf>
    <xf numFmtId="165" fontId="54" fillId="62" borderId="12" xfId="387" applyNumberFormat="1" applyFont="1" applyFill="1" applyBorder="1" applyAlignment="1">
      <alignment horizontal="center" vertical="top" wrapText="1"/>
    </xf>
    <xf numFmtId="0" fontId="54" fillId="62" borderId="12" xfId="387" applyFont="1" applyFill="1" applyBorder="1" applyAlignment="1">
      <alignment horizontal="left" vertical="top" wrapText="1"/>
    </xf>
    <xf numFmtId="0" fontId="54" fillId="65" borderId="12" xfId="387" applyFont="1" applyFill="1" applyBorder="1" applyAlignment="1">
      <alignment horizontal="center" vertical="top" wrapText="1"/>
    </xf>
    <xf numFmtId="49" fontId="54" fillId="65" borderId="12" xfId="387" applyNumberFormat="1" applyFont="1" applyFill="1" applyBorder="1" applyAlignment="1">
      <alignment horizontal="center" vertical="top" wrapText="1"/>
    </xf>
    <xf numFmtId="0" fontId="54" fillId="65" borderId="12" xfId="387" applyNumberFormat="1" applyFont="1" applyFill="1" applyBorder="1" applyAlignment="1">
      <alignment horizontal="center" vertical="top" wrapText="1"/>
    </xf>
    <xf numFmtId="0" fontId="54" fillId="65" borderId="12" xfId="387" applyFont="1" applyFill="1" applyBorder="1" applyAlignment="1">
      <alignment vertical="top" wrapText="1"/>
    </xf>
    <xf numFmtId="165" fontId="54" fillId="65" borderId="12" xfId="387" applyNumberFormat="1" applyFont="1" applyFill="1" applyBorder="1" applyAlignment="1">
      <alignment horizontal="center" vertical="top" wrapText="1"/>
    </xf>
    <xf numFmtId="0" fontId="54" fillId="70" borderId="12" xfId="387" applyFont="1" applyFill="1" applyBorder="1" applyAlignment="1">
      <alignment horizontal="center" vertical="top" wrapText="1"/>
    </xf>
    <xf numFmtId="49" fontId="54" fillId="71" borderId="12" xfId="387" applyNumberFormat="1" applyFont="1" applyFill="1" applyBorder="1" applyAlignment="1">
      <alignment horizontal="center" vertical="top" wrapText="1"/>
    </xf>
    <xf numFmtId="0" fontId="54" fillId="71" borderId="12" xfId="387" applyNumberFormat="1" applyFont="1" applyFill="1" applyBorder="1" applyAlignment="1">
      <alignment horizontal="center" vertical="top" wrapText="1"/>
    </xf>
    <xf numFmtId="0" fontId="54" fillId="71" borderId="12" xfId="0" applyFont="1" applyFill="1" applyBorder="1" applyAlignment="1">
      <alignment vertical="top" wrapText="1"/>
    </xf>
    <xf numFmtId="165" fontId="54" fillId="71" borderId="12" xfId="387" applyNumberFormat="1" applyFont="1" applyFill="1" applyBorder="1" applyAlignment="1">
      <alignment horizontal="center" vertical="top" wrapText="1"/>
    </xf>
    <xf numFmtId="0" fontId="54" fillId="61" borderId="12" xfId="387" applyFont="1" applyFill="1" applyBorder="1" applyAlignment="1">
      <alignment horizontal="center" vertical="top" wrapText="1"/>
    </xf>
    <xf numFmtId="0" fontId="54" fillId="61" borderId="12" xfId="387" applyNumberFormat="1" applyFont="1" applyFill="1" applyBorder="1" applyAlignment="1">
      <alignment horizontal="center" vertical="top" wrapText="1"/>
    </xf>
    <xf numFmtId="0" fontId="54" fillId="61" borderId="12" xfId="387" applyFont="1" applyFill="1" applyBorder="1" applyAlignment="1">
      <alignment vertical="top" wrapText="1"/>
    </xf>
    <xf numFmtId="165" fontId="54" fillId="61" borderId="12" xfId="387" applyNumberFormat="1" applyFont="1" applyFill="1" applyBorder="1" applyAlignment="1">
      <alignment horizontal="center" vertical="top" wrapText="1"/>
    </xf>
    <xf numFmtId="0" fontId="46" fillId="62" borderId="12" xfId="387" applyNumberFormat="1" applyFont="1" applyFill="1" applyBorder="1" applyAlignment="1">
      <alignment horizontal="center" vertical="top" wrapText="1"/>
    </xf>
    <xf numFmtId="0" fontId="55" fillId="61" borderId="12" xfId="387" applyFont="1" applyFill="1" applyBorder="1" applyAlignment="1">
      <alignment horizontal="center" vertical="top"/>
    </xf>
    <xf numFmtId="165" fontId="54" fillId="61" borderId="12" xfId="387" applyNumberFormat="1" applyFont="1" applyFill="1" applyBorder="1" applyAlignment="1">
      <alignment horizontal="center" vertical="top"/>
    </xf>
    <xf numFmtId="0" fontId="2" fillId="62" borderId="12" xfId="387" applyFont="1" applyFill="1" applyBorder="1" applyAlignment="1">
      <alignment horizontal="center" vertical="top"/>
    </xf>
    <xf numFmtId="165" fontId="46" fillId="62" borderId="12" xfId="387" applyNumberFormat="1" applyFont="1" applyFill="1" applyBorder="1" applyAlignment="1">
      <alignment horizontal="center" vertical="top"/>
    </xf>
    <xf numFmtId="0" fontId="54" fillId="61" borderId="12" xfId="387" applyFont="1" applyFill="1" applyBorder="1" applyAlignment="1">
      <alignment horizontal="left" vertical="top" wrapText="1"/>
    </xf>
    <xf numFmtId="0" fontId="46" fillId="61" borderId="12" xfId="387" applyFont="1" applyFill="1" applyBorder="1" applyAlignment="1">
      <alignment horizontal="center" vertical="top" wrapText="1"/>
    </xf>
    <xf numFmtId="49" fontId="46" fillId="61" borderId="12" xfId="387" applyNumberFormat="1" applyFont="1" applyFill="1" applyBorder="1" applyAlignment="1">
      <alignment horizontal="center" vertical="top" wrapText="1"/>
    </xf>
    <xf numFmtId="165" fontId="46" fillId="61" borderId="12" xfId="387" applyNumberFormat="1" applyFont="1" applyFill="1" applyBorder="1" applyAlignment="1">
      <alignment horizontal="center" vertical="top" wrapText="1"/>
    </xf>
    <xf numFmtId="0" fontId="54" fillId="61" borderId="12" xfId="387" applyNumberFormat="1" applyFont="1" applyFill="1" applyBorder="1" applyAlignment="1">
      <alignment horizontal="center" vertical="center" wrapText="1"/>
    </xf>
    <xf numFmtId="0" fontId="66" fillId="0" borderId="0" xfId="0" applyFont="1"/>
    <xf numFmtId="0" fontId="46" fillId="62" borderId="12" xfId="387" applyNumberFormat="1" applyFont="1" applyFill="1" applyBorder="1" applyAlignment="1">
      <alignment horizontal="center" wrapText="1"/>
    </xf>
    <xf numFmtId="0" fontId="46" fillId="65" borderId="12" xfId="387" applyFont="1" applyFill="1" applyBorder="1" applyAlignment="1">
      <alignment horizontal="center" vertical="top" wrapText="1"/>
    </xf>
    <xf numFmtId="49" fontId="46" fillId="65" borderId="12" xfId="387" applyNumberFormat="1" applyFont="1" applyFill="1" applyBorder="1" applyAlignment="1">
      <alignment horizontal="center" vertical="top" wrapText="1"/>
    </xf>
    <xf numFmtId="165" fontId="54" fillId="65" borderId="12" xfId="387" applyNumberFormat="1" applyFont="1" applyFill="1" applyBorder="1" applyAlignment="1">
      <alignment horizontal="center"/>
    </xf>
    <xf numFmtId="0" fontId="46" fillId="0" borderId="12" xfId="387" applyNumberFormat="1" applyFont="1" applyFill="1" applyBorder="1" applyAlignment="1">
      <alignment horizontal="center" wrapText="1"/>
    </xf>
    <xf numFmtId="0" fontId="46" fillId="62" borderId="12" xfId="387" applyFont="1" applyFill="1" applyBorder="1" applyAlignment="1">
      <alignment horizontal="justify" vertical="top" wrapText="1"/>
    </xf>
    <xf numFmtId="0" fontId="46" fillId="61" borderId="12" xfId="387" applyNumberFormat="1" applyFont="1" applyFill="1" applyBorder="1" applyAlignment="1">
      <alignment horizontal="center" vertical="top" wrapText="1"/>
    </xf>
    <xf numFmtId="0" fontId="54" fillId="72" borderId="12" xfId="387" applyFont="1" applyFill="1" applyBorder="1" applyAlignment="1">
      <alignment horizontal="center" vertical="top" wrapText="1"/>
    </xf>
    <xf numFmtId="49" fontId="54" fillId="72" borderId="12" xfId="387" applyNumberFormat="1" applyFont="1" applyFill="1" applyBorder="1" applyAlignment="1">
      <alignment horizontal="center" vertical="top" wrapText="1"/>
    </xf>
    <xf numFmtId="0" fontId="54" fillId="72" borderId="12" xfId="387" applyNumberFormat="1" applyFont="1" applyFill="1" applyBorder="1" applyAlignment="1">
      <alignment horizontal="center" vertical="top" wrapText="1"/>
    </xf>
    <xf numFmtId="49" fontId="46" fillId="72" borderId="12" xfId="387" applyNumberFormat="1" applyFont="1" applyFill="1" applyBorder="1" applyAlignment="1">
      <alignment horizontal="center" vertical="top" wrapText="1"/>
    </xf>
    <xf numFmtId="0" fontId="54" fillId="72" borderId="12" xfId="387" applyFont="1" applyFill="1" applyBorder="1" applyAlignment="1">
      <alignment wrapText="1"/>
    </xf>
    <xf numFmtId="165" fontId="54" fillId="72" borderId="12" xfId="387" applyNumberFormat="1" applyFont="1" applyFill="1" applyBorder="1" applyAlignment="1">
      <alignment horizontal="center" vertical="top" wrapText="1"/>
    </xf>
    <xf numFmtId="0" fontId="54" fillId="61" borderId="12" xfId="387" applyFont="1" applyFill="1" applyBorder="1" applyAlignment="1">
      <alignment wrapText="1"/>
    </xf>
    <xf numFmtId="0" fontId="46" fillId="62" borderId="12" xfId="387" applyFont="1" applyFill="1" applyBorder="1" applyAlignment="1">
      <alignment horizontal="justify" vertical="top"/>
    </xf>
    <xf numFmtId="0" fontId="46" fillId="73" borderId="12" xfId="387" applyFont="1" applyFill="1" applyBorder="1" applyAlignment="1">
      <alignment horizontal="center" vertical="top" wrapText="1"/>
    </xf>
    <xf numFmtId="49" fontId="46" fillId="73" borderId="12" xfId="387" applyNumberFormat="1" applyFont="1" applyFill="1" applyBorder="1" applyAlignment="1">
      <alignment horizontal="center" vertical="top" wrapText="1"/>
    </xf>
    <xf numFmtId="0" fontId="54" fillId="73" borderId="12" xfId="387" applyNumberFormat="1" applyFont="1" applyFill="1" applyBorder="1" applyAlignment="1">
      <alignment horizontal="center" vertical="top" wrapText="1"/>
    </xf>
    <xf numFmtId="49" fontId="54" fillId="73" borderId="12" xfId="387" applyNumberFormat="1" applyFont="1" applyFill="1" applyBorder="1" applyAlignment="1">
      <alignment horizontal="center" vertical="top" wrapText="1"/>
    </xf>
    <xf numFmtId="0" fontId="54" fillId="73" borderId="12" xfId="387" applyFont="1" applyFill="1" applyBorder="1" applyAlignment="1">
      <alignment vertical="top" wrapText="1"/>
    </xf>
    <xf numFmtId="165" fontId="54" fillId="73" borderId="12" xfId="387" applyNumberFormat="1" applyFont="1" applyFill="1" applyBorder="1" applyAlignment="1">
      <alignment horizontal="center" vertical="top" wrapText="1"/>
    </xf>
    <xf numFmtId="0" fontId="46" fillId="62" borderId="12" xfId="387" applyFont="1" applyFill="1" applyBorder="1" applyAlignment="1">
      <alignment vertical="top"/>
    </xf>
    <xf numFmtId="0" fontId="46" fillId="74" borderId="12" xfId="387" applyFont="1" applyFill="1" applyBorder="1" applyAlignment="1">
      <alignment horizontal="center" vertical="top" wrapText="1"/>
    </xf>
    <xf numFmtId="49" fontId="46" fillId="74" borderId="12" xfId="387" applyNumberFormat="1" applyFont="1" applyFill="1" applyBorder="1" applyAlignment="1">
      <alignment horizontal="center" vertical="top" wrapText="1"/>
    </xf>
    <xf numFmtId="0" fontId="54" fillId="74" borderId="12" xfId="387" applyNumberFormat="1" applyFont="1" applyFill="1" applyBorder="1" applyAlignment="1">
      <alignment horizontal="center" vertical="top" wrapText="1"/>
    </xf>
    <xf numFmtId="0" fontId="54" fillId="74" borderId="12" xfId="387" applyFont="1" applyFill="1" applyBorder="1" applyAlignment="1">
      <alignment vertical="top" wrapText="1"/>
    </xf>
    <xf numFmtId="165" fontId="54" fillId="74" borderId="12" xfId="387" applyNumberFormat="1" applyFont="1" applyFill="1" applyBorder="1" applyAlignment="1">
      <alignment horizontal="center" vertical="top" wrapText="1"/>
    </xf>
    <xf numFmtId="0" fontId="54" fillId="66" borderId="12" xfId="387" applyFont="1" applyFill="1" applyBorder="1" applyAlignment="1">
      <alignment horizontal="center" vertical="top" wrapText="1"/>
    </xf>
    <xf numFmtId="49" fontId="54" fillId="75" borderId="12" xfId="387" applyNumberFormat="1" applyFont="1" applyFill="1" applyBorder="1" applyAlignment="1">
      <alignment horizontal="center" vertical="top" wrapText="1"/>
    </xf>
    <xf numFmtId="0" fontId="54" fillId="75" borderId="12" xfId="387" applyNumberFormat="1" applyFont="1" applyFill="1" applyBorder="1" applyAlignment="1">
      <alignment horizontal="center" vertical="top" wrapText="1"/>
    </xf>
    <xf numFmtId="0" fontId="54" fillId="75" borderId="12" xfId="387" applyFont="1" applyFill="1" applyBorder="1" applyAlignment="1">
      <alignment horizontal="left" vertical="top" wrapText="1"/>
    </xf>
    <xf numFmtId="165" fontId="54" fillId="75" borderId="12" xfId="387" applyNumberFormat="1" applyFont="1" applyFill="1" applyBorder="1" applyAlignment="1">
      <alignment horizontal="center" vertical="top" wrapText="1"/>
    </xf>
    <xf numFmtId="0" fontId="46" fillId="66" borderId="12" xfId="387" applyFont="1" applyFill="1" applyBorder="1" applyAlignment="1">
      <alignment horizontal="center" vertical="top" wrapText="1"/>
    </xf>
    <xf numFmtId="0" fontId="54" fillId="66" borderId="12" xfId="387" applyFont="1" applyFill="1" applyBorder="1" applyAlignment="1">
      <alignment vertical="top" wrapText="1"/>
    </xf>
    <xf numFmtId="0" fontId="46" fillId="62" borderId="12" xfId="387" applyNumberFormat="1" applyFont="1" applyFill="1" applyBorder="1" applyAlignment="1">
      <alignment horizontal="center" vertical="center" wrapText="1"/>
    </xf>
    <xf numFmtId="0" fontId="54" fillId="75" borderId="12" xfId="387" applyFont="1" applyFill="1" applyBorder="1" applyAlignment="1">
      <alignment horizontal="center" vertical="top" wrapText="1"/>
    </xf>
    <xf numFmtId="0" fontId="54" fillId="75" borderId="12" xfId="387" applyFont="1" applyFill="1" applyBorder="1" applyAlignment="1">
      <alignment vertical="top" wrapText="1"/>
    </xf>
    <xf numFmtId="0" fontId="54" fillId="61" borderId="12" xfId="387" applyFont="1" applyFill="1" applyBorder="1" applyAlignment="1">
      <alignment horizontal="justify" vertical="top" wrapText="1"/>
    </xf>
    <xf numFmtId="165" fontId="54" fillId="62" borderId="12" xfId="387" applyNumberFormat="1" applyFont="1" applyFill="1" applyBorder="1" applyAlignment="1">
      <alignment horizontal="center" vertical="top"/>
    </xf>
    <xf numFmtId="0" fontId="54" fillId="65" borderId="12" xfId="387" applyNumberFormat="1" applyFont="1" applyFill="1" applyBorder="1" applyAlignment="1">
      <alignment horizontal="center" vertical="center" wrapText="1"/>
    </xf>
    <xf numFmtId="165" fontId="54" fillId="65" borderId="12" xfId="387" applyNumberFormat="1" applyFont="1" applyFill="1" applyBorder="1" applyAlignment="1">
      <alignment horizontal="center" vertical="top"/>
    </xf>
    <xf numFmtId="49" fontId="54" fillId="76" borderId="12" xfId="387" applyNumberFormat="1" applyFont="1" applyFill="1" applyBorder="1" applyAlignment="1">
      <alignment horizontal="center" vertical="top" wrapText="1"/>
    </xf>
    <xf numFmtId="0" fontId="54" fillId="76" borderId="12" xfId="387" applyNumberFormat="1" applyFont="1" applyFill="1" applyBorder="1" applyAlignment="1">
      <alignment horizontal="center" vertical="top" wrapText="1"/>
    </xf>
    <xf numFmtId="0" fontId="54" fillId="61" borderId="12" xfId="387" applyNumberFormat="1" applyFont="1" applyFill="1" applyBorder="1" applyAlignment="1">
      <alignment horizontal="center" wrapText="1"/>
    </xf>
    <xf numFmtId="49" fontId="54" fillId="61" borderId="12" xfId="387" applyNumberFormat="1" applyFont="1" applyFill="1" applyBorder="1" applyAlignment="1">
      <alignment horizontal="center" wrapText="1"/>
    </xf>
    <xf numFmtId="0" fontId="66" fillId="61" borderId="0" xfId="0" applyFont="1" applyFill="1"/>
    <xf numFmtId="0" fontId="54" fillId="65" borderId="12" xfId="387" applyFont="1" applyFill="1" applyBorder="1" applyAlignment="1">
      <alignment horizontal="left" vertical="top" wrapText="1"/>
    </xf>
    <xf numFmtId="0" fontId="54" fillId="72" borderId="12" xfId="387" applyFont="1" applyFill="1" applyBorder="1" applyAlignment="1">
      <alignment vertical="top" wrapText="1"/>
    </xf>
    <xf numFmtId="165" fontId="54" fillId="61" borderId="12" xfId="0" applyNumberFormat="1" applyFont="1" applyFill="1" applyBorder="1" applyAlignment="1">
      <alignment horizontal="center" vertical="top"/>
    </xf>
    <xf numFmtId="49" fontId="54" fillId="66" borderId="12" xfId="387" applyNumberFormat="1" applyFont="1" applyFill="1" applyBorder="1" applyAlignment="1">
      <alignment horizontal="center" vertical="top" wrapText="1"/>
    </xf>
    <xf numFmtId="0" fontId="54" fillId="66" borderId="12" xfId="387" applyNumberFormat="1" applyFont="1" applyFill="1" applyBorder="1" applyAlignment="1">
      <alignment horizontal="center" vertical="top" wrapText="1"/>
    </xf>
    <xf numFmtId="0" fontId="54" fillId="66" borderId="12" xfId="387" applyFont="1" applyFill="1" applyBorder="1" applyAlignment="1">
      <alignment horizontal="left" vertical="top" wrapText="1"/>
    </xf>
    <xf numFmtId="165" fontId="54" fillId="66" borderId="12" xfId="387" applyNumberFormat="1" applyFont="1" applyFill="1" applyBorder="1" applyAlignment="1">
      <alignment horizontal="center" vertical="top" wrapText="1"/>
    </xf>
    <xf numFmtId="49" fontId="54" fillId="64" borderId="12" xfId="387" applyNumberFormat="1" applyFont="1" applyFill="1" applyBorder="1" applyAlignment="1">
      <alignment horizontal="left" wrapText="1"/>
    </xf>
    <xf numFmtId="0" fontId="46" fillId="0" borderId="12" xfId="387" applyNumberFormat="1" applyFont="1" applyFill="1" applyBorder="1" applyAlignment="1">
      <alignment horizontal="center" vertical="top" wrapText="1"/>
    </xf>
    <xf numFmtId="0" fontId="54" fillId="0" borderId="12" xfId="387" applyNumberFormat="1" applyFont="1" applyFill="1" applyBorder="1" applyAlignment="1">
      <alignment horizontal="center" vertical="top" wrapText="1"/>
    </xf>
    <xf numFmtId="0" fontId="54" fillId="72" borderId="12" xfId="387" applyFont="1" applyFill="1" applyBorder="1" applyAlignment="1">
      <alignment horizontal="left" vertical="top" wrapText="1"/>
    </xf>
    <xf numFmtId="0" fontId="54" fillId="61" borderId="12" xfId="387" applyFont="1" applyFill="1" applyBorder="1" applyAlignment="1">
      <alignment horizontal="left" wrapText="1"/>
    </xf>
    <xf numFmtId="0" fontId="54" fillId="62" borderId="12" xfId="387" applyNumberFormat="1" applyFont="1" applyFill="1" applyBorder="1" applyAlignment="1">
      <alignment horizontal="center" wrapText="1"/>
    </xf>
    <xf numFmtId="0" fontId="54" fillId="75" borderId="12" xfId="387" applyNumberFormat="1" applyFont="1" applyFill="1" applyBorder="1" applyAlignment="1">
      <alignment horizontal="center" wrapText="1"/>
    </xf>
    <xf numFmtId="49" fontId="54" fillId="75" borderId="12" xfId="387" applyNumberFormat="1" applyFont="1" applyFill="1" applyBorder="1" applyAlignment="1">
      <alignment horizontal="center" wrapText="1"/>
    </xf>
    <xf numFmtId="0" fontId="54" fillId="75" borderId="12" xfId="387" applyFont="1" applyFill="1" applyBorder="1" applyAlignment="1">
      <alignment horizontal="left" wrapText="1"/>
    </xf>
    <xf numFmtId="165" fontId="54" fillId="75" borderId="12" xfId="387" applyNumberFormat="1" applyFont="1" applyFill="1" applyBorder="1" applyAlignment="1">
      <alignment horizontal="center" wrapText="1"/>
    </xf>
    <xf numFmtId="165" fontId="54" fillId="61" borderId="12" xfId="387" applyNumberFormat="1" applyFont="1" applyFill="1" applyBorder="1" applyAlignment="1">
      <alignment horizontal="center" wrapText="1"/>
    </xf>
    <xf numFmtId="165" fontId="54" fillId="66" borderId="20" xfId="387" applyNumberFormat="1" applyFont="1" applyFill="1" applyBorder="1" applyAlignment="1">
      <alignment horizontal="center" vertical="top" wrapText="1"/>
    </xf>
    <xf numFmtId="0" fontId="54" fillId="66" borderId="12" xfId="387" applyFont="1" applyFill="1" applyBorder="1" applyAlignment="1">
      <alignment horizontal="justify" vertical="top" wrapText="1"/>
    </xf>
    <xf numFmtId="0" fontId="46" fillId="62" borderId="12" xfId="286" applyFont="1" applyFill="1" applyBorder="1" applyAlignment="1">
      <alignment vertical="top" wrapText="1"/>
    </xf>
    <xf numFmtId="49" fontId="54" fillId="60" borderId="12" xfId="387" applyNumberFormat="1" applyFont="1" applyFill="1" applyBorder="1" applyAlignment="1">
      <alignment horizontal="center" vertical="top" wrapText="1"/>
    </xf>
    <xf numFmtId="0" fontId="54" fillId="60" borderId="12" xfId="387" applyNumberFormat="1" applyFont="1" applyFill="1" applyBorder="1" applyAlignment="1">
      <alignment horizontal="center" vertical="top" wrapText="1"/>
    </xf>
    <xf numFmtId="0" fontId="54" fillId="76" borderId="12" xfId="387" applyFont="1" applyFill="1" applyBorder="1" applyAlignment="1">
      <alignment horizontal="left" vertical="top" wrapText="1"/>
    </xf>
    <xf numFmtId="49" fontId="46" fillId="66" borderId="12" xfId="387" applyNumberFormat="1" applyFont="1" applyFill="1" applyBorder="1" applyAlignment="1">
      <alignment horizontal="center" vertical="top" wrapText="1"/>
    </xf>
    <xf numFmtId="0" fontId="46" fillId="72" borderId="12" xfId="387" applyFont="1" applyFill="1" applyBorder="1" applyAlignment="1">
      <alignment horizontal="center" vertical="top" wrapText="1"/>
    </xf>
    <xf numFmtId="0" fontId="54" fillId="62" borderId="12" xfId="387" applyNumberFormat="1" applyFont="1" applyFill="1" applyBorder="1" applyAlignment="1">
      <alignment horizontal="center" vertical="center" wrapText="1"/>
    </xf>
    <xf numFmtId="0" fontId="46" fillId="75" borderId="12" xfId="387" applyFont="1" applyFill="1" applyBorder="1" applyAlignment="1">
      <alignment horizontal="center" vertical="top" wrapText="1"/>
    </xf>
    <xf numFmtId="49" fontId="46" fillId="75" borderId="12" xfId="387" applyNumberFormat="1" applyFont="1" applyFill="1" applyBorder="1" applyAlignment="1">
      <alignment horizontal="center" vertical="top" wrapText="1"/>
    </xf>
    <xf numFmtId="165" fontId="54" fillId="75" borderId="12" xfId="387" applyNumberFormat="1" applyFont="1" applyFill="1" applyBorder="1" applyAlignment="1">
      <alignment horizontal="center" vertical="top"/>
    </xf>
    <xf numFmtId="0" fontId="46" fillId="62" borderId="19" xfId="0" applyNumberFormat="1" applyFont="1" applyFill="1" applyBorder="1" applyAlignment="1">
      <alignment horizontal="center" vertical="top" wrapText="1"/>
    </xf>
    <xf numFmtId="49" fontId="46" fillId="62" borderId="19" xfId="0" applyNumberFormat="1" applyFont="1" applyFill="1" applyBorder="1" applyAlignment="1">
      <alignment horizontal="center" vertical="top" wrapText="1"/>
    </xf>
    <xf numFmtId="0" fontId="46" fillId="62" borderId="19" xfId="0" applyFont="1" applyFill="1" applyBorder="1" applyAlignment="1">
      <alignment vertical="top" wrapText="1"/>
    </xf>
    <xf numFmtId="0" fontId="46" fillId="71" borderId="12" xfId="387" applyFont="1" applyFill="1" applyBorder="1" applyAlignment="1">
      <alignment horizontal="center" vertical="top" wrapText="1"/>
    </xf>
    <xf numFmtId="0" fontId="54" fillId="71" borderId="12" xfId="387" applyFont="1" applyFill="1" applyBorder="1" applyAlignment="1">
      <alignment vertical="top" wrapText="1"/>
    </xf>
    <xf numFmtId="0" fontId="46" fillId="0" borderId="12" xfId="387" applyFont="1" applyFill="1" applyBorder="1" applyAlignment="1">
      <alignment horizontal="center" vertical="top" wrapText="1"/>
    </xf>
    <xf numFmtId="165" fontId="46" fillId="0" borderId="21" xfId="387" applyNumberFormat="1" applyFont="1" applyFill="1" applyBorder="1" applyAlignment="1">
      <alignment horizontal="center" vertical="top" wrapText="1"/>
    </xf>
    <xf numFmtId="165" fontId="46" fillId="62" borderId="21" xfId="387" applyNumberFormat="1" applyFont="1" applyFill="1" applyBorder="1" applyAlignment="1">
      <alignment horizontal="center" vertical="top" wrapText="1"/>
    </xf>
    <xf numFmtId="165" fontId="54" fillId="60" borderId="12" xfId="387" applyNumberFormat="1" applyFont="1" applyFill="1" applyBorder="1" applyAlignment="1">
      <alignment horizontal="center" vertical="top"/>
    </xf>
    <xf numFmtId="0" fontId="54" fillId="0" borderId="12" xfId="387" applyFont="1" applyFill="1" applyBorder="1" applyAlignment="1">
      <alignment horizontal="center" vertical="top" wrapText="1"/>
    </xf>
    <xf numFmtId="165" fontId="46" fillId="75" borderId="12" xfId="387" applyNumberFormat="1" applyFont="1" applyFill="1" applyBorder="1" applyAlignment="1">
      <alignment horizontal="center" vertical="top" wrapText="1"/>
    </xf>
    <xf numFmtId="0" fontId="65" fillId="0" borderId="0" xfId="0" applyNumberFormat="1" applyFont="1" applyFill="1"/>
    <xf numFmtId="0" fontId="88" fillId="61" borderId="12" xfId="0" applyFont="1" applyFill="1" applyBorder="1" applyAlignment="1">
      <alignment vertical="top" wrapText="1"/>
    </xf>
    <xf numFmtId="0" fontId="2" fillId="77" borderId="12" xfId="387" applyFont="1" applyFill="1" applyBorder="1" applyAlignment="1">
      <alignment horizontal="center" vertical="top"/>
    </xf>
    <xf numFmtId="0" fontId="46" fillId="77" borderId="12" xfId="387" applyFont="1" applyFill="1" applyBorder="1" applyAlignment="1">
      <alignment horizontal="center" vertical="top" wrapText="1"/>
    </xf>
    <xf numFmtId="0" fontId="54" fillId="77" borderId="12" xfId="387" applyFont="1" applyFill="1" applyBorder="1" applyAlignment="1">
      <alignment vertical="top" wrapText="1"/>
    </xf>
    <xf numFmtId="165" fontId="54" fillId="77" borderId="12" xfId="387" applyNumberFormat="1" applyFont="1" applyFill="1" applyBorder="1" applyAlignment="1">
      <alignment horizontal="center" vertical="top" wrapText="1"/>
    </xf>
    <xf numFmtId="0" fontId="54" fillId="61" borderId="0" xfId="0" applyFont="1" applyFill="1" applyBorder="1" applyAlignment="1">
      <alignment wrapText="1"/>
    </xf>
    <xf numFmtId="170" fontId="54" fillId="66" borderId="12" xfId="387" applyNumberFormat="1" applyFont="1" applyFill="1" applyBorder="1" applyAlignment="1">
      <alignment horizontal="center" vertical="top" wrapText="1"/>
    </xf>
    <xf numFmtId="170" fontId="54" fillId="64" borderId="12" xfId="387" applyNumberFormat="1" applyFont="1" applyFill="1" applyBorder="1" applyAlignment="1">
      <alignment horizontal="center" wrapText="1"/>
    </xf>
    <xf numFmtId="170" fontId="46" fillId="64" borderId="12" xfId="387" applyNumberFormat="1" applyFont="1" applyFill="1" applyBorder="1" applyAlignment="1">
      <alignment horizontal="center" wrapText="1"/>
    </xf>
    <xf numFmtId="168" fontId="53" fillId="0" borderId="12" xfId="386" applyNumberFormat="1" applyFont="1" applyFill="1" applyBorder="1" applyAlignment="1">
      <alignment horizontal="justify" vertical="center" wrapText="1"/>
    </xf>
    <xf numFmtId="49" fontId="72" fillId="62" borderId="12" xfId="386" applyNumberFormat="1" applyFont="1" applyFill="1" applyBorder="1" applyAlignment="1">
      <alignment horizontal="center" vertical="center" wrapText="1"/>
    </xf>
    <xf numFmtId="49" fontId="69" fillId="0" borderId="12" xfId="386" applyNumberFormat="1" applyFont="1" applyFill="1" applyBorder="1" applyAlignment="1">
      <alignment horizontal="center" vertical="center" wrapText="1"/>
    </xf>
    <xf numFmtId="49" fontId="70" fillId="62" borderId="0" xfId="386" applyNumberFormat="1" applyFont="1" applyFill="1" applyBorder="1" applyAlignment="1">
      <alignment horizontal="right" wrapText="1"/>
    </xf>
    <xf numFmtId="2" fontId="54" fillId="61" borderId="12" xfId="387" applyNumberFormat="1" applyFont="1" applyFill="1" applyBorder="1" applyAlignment="1">
      <alignment horizontal="left" vertical="top" wrapText="1"/>
    </xf>
    <xf numFmtId="0" fontId="54" fillId="64" borderId="12" xfId="387" applyFont="1" applyFill="1" applyBorder="1" applyAlignment="1">
      <alignment horizontal="left" wrapText="1"/>
    </xf>
    <xf numFmtId="0" fontId="46" fillId="0" borderId="12" xfId="470" applyNumberFormat="1" applyFont="1" applyFill="1" applyBorder="1" applyAlignment="1">
      <alignment horizontal="left" vertical="top" wrapText="1"/>
    </xf>
    <xf numFmtId="165" fontId="60" fillId="0" borderId="0" xfId="386" applyNumberFormat="1" applyAlignment="1">
      <alignment horizontal="center" vertical="center"/>
    </xf>
    <xf numFmtId="0" fontId="89" fillId="0" borderId="12" xfId="387" applyFont="1" applyBorder="1" applyAlignment="1">
      <alignment horizontal="left" wrapText="1"/>
    </xf>
    <xf numFmtId="165" fontId="89" fillId="62" borderId="12" xfId="387" applyNumberFormat="1" applyFont="1" applyFill="1" applyBorder="1" applyAlignment="1">
      <alignment horizontal="center" wrapText="1"/>
    </xf>
    <xf numFmtId="0" fontId="89" fillId="62" borderId="12" xfId="387" applyFont="1" applyFill="1" applyBorder="1" applyAlignment="1">
      <alignment wrapText="1"/>
    </xf>
    <xf numFmtId="0" fontId="0" fillId="62" borderId="0" xfId="0" applyFont="1" applyFill="1" applyBorder="1"/>
    <xf numFmtId="0" fontId="0" fillId="62" borderId="0" xfId="0" applyFont="1" applyFill="1"/>
    <xf numFmtId="49" fontId="54" fillId="62" borderId="12" xfId="387" applyNumberFormat="1" applyFont="1" applyFill="1" applyBorder="1" applyAlignment="1">
      <alignment horizontal="left" wrapText="1"/>
    </xf>
    <xf numFmtId="170" fontId="54" fillId="62" borderId="12" xfId="387" applyNumberFormat="1" applyFont="1" applyFill="1" applyBorder="1" applyAlignment="1">
      <alignment horizontal="center" wrapText="1"/>
    </xf>
    <xf numFmtId="170" fontId="46" fillId="62" borderId="12" xfId="387" applyNumberFormat="1" applyFont="1" applyFill="1" applyBorder="1" applyAlignment="1">
      <alignment horizontal="center" wrapText="1"/>
    </xf>
    <xf numFmtId="0" fontId="65" fillId="62" borderId="0" xfId="0" applyFont="1" applyFill="1"/>
    <xf numFmtId="49" fontId="46" fillId="62" borderId="12" xfId="387" applyNumberFormat="1" applyFont="1" applyFill="1" applyBorder="1" applyAlignment="1">
      <alignment horizontal="left" wrapText="1"/>
    </xf>
    <xf numFmtId="0" fontId="90" fillId="0" borderId="12" xfId="387" applyFont="1" applyBorder="1" applyAlignment="1">
      <alignment horizontal="left" wrapText="1"/>
    </xf>
    <xf numFmtId="165" fontId="90" fillId="62" borderId="12" xfId="387" applyNumberFormat="1" applyFont="1" applyFill="1" applyBorder="1" applyAlignment="1">
      <alignment horizontal="center" wrapText="1"/>
    </xf>
    <xf numFmtId="165" fontId="46" fillId="62" borderId="20" xfId="387" applyNumberFormat="1" applyFont="1" applyFill="1" applyBorder="1" applyAlignment="1">
      <alignment horizontal="center" wrapText="1"/>
    </xf>
    <xf numFmtId="0" fontId="91" fillId="62" borderId="12" xfId="387" applyFont="1" applyFill="1" applyBorder="1" applyAlignment="1">
      <alignment horizontal="center" vertical="top" wrapText="1"/>
    </xf>
    <xf numFmtId="49" fontId="91" fillId="62" borderId="12" xfId="387" applyNumberFormat="1" applyFont="1" applyFill="1" applyBorder="1" applyAlignment="1">
      <alignment horizontal="center" vertical="top" wrapText="1"/>
    </xf>
    <xf numFmtId="0" fontId="90" fillId="0" borderId="12" xfId="387" applyNumberFormat="1" applyFont="1" applyFill="1" applyBorder="1" applyAlignment="1">
      <alignment horizontal="center" vertical="top" wrapText="1"/>
    </xf>
    <xf numFmtId="49" fontId="90" fillId="0" borderId="12" xfId="387" applyNumberFormat="1" applyFont="1" applyFill="1" applyBorder="1" applyAlignment="1">
      <alignment horizontal="center" vertical="top" wrapText="1"/>
    </xf>
    <xf numFmtId="0" fontId="90" fillId="62" borderId="12" xfId="387" applyFont="1" applyFill="1" applyBorder="1" applyAlignment="1">
      <alignment vertical="top" wrapText="1"/>
    </xf>
    <xf numFmtId="165" fontId="90" fillId="0" borderId="12" xfId="387" applyNumberFormat="1" applyFont="1" applyFill="1" applyBorder="1" applyAlignment="1">
      <alignment horizontal="center" vertical="top" wrapText="1"/>
    </xf>
    <xf numFmtId="165" fontId="90" fillId="0" borderId="20" xfId="387" applyNumberFormat="1" applyFont="1" applyFill="1" applyBorder="1" applyAlignment="1">
      <alignment horizontal="center" vertical="top" wrapText="1"/>
    </xf>
    <xf numFmtId="0" fontId="92" fillId="0" borderId="0" xfId="0" applyFont="1"/>
    <xf numFmtId="165" fontId="90" fillId="62" borderId="12" xfId="387" applyNumberFormat="1" applyFont="1" applyFill="1" applyBorder="1" applyAlignment="1">
      <alignment horizontal="center" vertical="top" wrapText="1"/>
    </xf>
    <xf numFmtId="165" fontId="53" fillId="62" borderId="12" xfId="386" applyNumberFormat="1" applyFont="1" applyFill="1" applyBorder="1" applyAlignment="1">
      <alignment horizontal="center" vertical="center" wrapText="1"/>
    </xf>
    <xf numFmtId="0" fontId="53" fillId="62" borderId="12" xfId="337" applyFont="1" applyFill="1" applyBorder="1"/>
    <xf numFmtId="0" fontId="53" fillId="62" borderId="12" xfId="337" applyFont="1" applyFill="1" applyBorder="1" applyAlignment="1">
      <alignment wrapText="1"/>
    </xf>
    <xf numFmtId="165" fontId="46" fillId="62" borderId="12" xfId="387" applyNumberFormat="1" applyFont="1" applyFill="1" applyBorder="1" applyAlignment="1">
      <alignment horizontal="center" vertical="center"/>
    </xf>
    <xf numFmtId="0" fontId="61" fillId="0" borderId="0" xfId="0" applyFont="1" applyAlignment="1">
      <alignment horizontal="center"/>
    </xf>
    <xf numFmtId="0" fontId="77" fillId="0" borderId="12" xfId="0" applyFont="1" applyBorder="1" applyAlignment="1">
      <alignment wrapText="1"/>
    </xf>
    <xf numFmtId="168" fontId="71" fillId="62" borderId="12" xfId="0" applyNumberFormat="1" applyFont="1" applyFill="1" applyBorder="1" applyAlignment="1">
      <alignment horizontal="justify" vertical="center" wrapText="1"/>
    </xf>
    <xf numFmtId="49" fontId="71" fillId="0" borderId="26" xfId="386" applyNumberFormat="1" applyFont="1" applyFill="1" applyBorder="1" applyAlignment="1">
      <alignment horizontal="center" vertical="center" wrapText="1"/>
    </xf>
    <xf numFmtId="0" fontId="77" fillId="62" borderId="19" xfId="0" applyFont="1" applyFill="1" applyBorder="1" applyAlignment="1">
      <alignment wrapText="1"/>
    </xf>
    <xf numFmtId="49" fontId="76" fillId="0" borderId="26" xfId="386" applyNumberFormat="1" applyFont="1" applyFill="1" applyBorder="1" applyAlignment="1">
      <alignment horizontal="center" vertical="center" wrapText="1"/>
    </xf>
    <xf numFmtId="0" fontId="78" fillId="62" borderId="19" xfId="0" applyFont="1" applyFill="1" applyBorder="1" applyAlignment="1">
      <alignment wrapText="1"/>
    </xf>
    <xf numFmtId="0" fontId="77" fillId="62" borderId="26" xfId="0" applyFont="1" applyFill="1" applyBorder="1" applyAlignment="1">
      <alignment horizontal="center" vertical="center" wrapText="1"/>
    </xf>
    <xf numFmtId="0" fontId="77" fillId="62" borderId="19" xfId="0" applyFont="1" applyFill="1" applyBorder="1" applyAlignment="1">
      <alignment vertical="center" wrapText="1"/>
    </xf>
    <xf numFmtId="0" fontId="78" fillId="62" borderId="26" xfId="0" applyFont="1" applyFill="1" applyBorder="1" applyAlignment="1">
      <alignment horizontal="center" vertical="center" wrapText="1"/>
    </xf>
    <xf numFmtId="0" fontId="78" fillId="62" borderId="19" xfId="0" applyFont="1" applyFill="1" applyBorder="1" applyAlignment="1">
      <alignment vertical="center" wrapText="1"/>
    </xf>
    <xf numFmtId="168" fontId="72" fillId="62" borderId="19" xfId="0" applyNumberFormat="1" applyFont="1" applyFill="1" applyBorder="1" applyAlignment="1">
      <alignment horizontal="justify" vertical="center" wrapText="1"/>
    </xf>
    <xf numFmtId="49" fontId="70" fillId="0" borderId="23" xfId="386" applyNumberFormat="1" applyFont="1" applyFill="1" applyBorder="1" applyAlignment="1">
      <alignment horizontal="center" vertical="center" wrapText="1"/>
    </xf>
    <xf numFmtId="168" fontId="53" fillId="62" borderId="19" xfId="0" applyNumberFormat="1" applyFont="1" applyFill="1" applyBorder="1" applyAlignment="1">
      <alignment horizontal="justify" vertical="center" wrapText="1"/>
    </xf>
    <xf numFmtId="165" fontId="82" fillId="62" borderId="12" xfId="286" applyNumberFormat="1" applyFont="1" applyFill="1" applyBorder="1" applyAlignment="1">
      <alignment horizontal="center" vertical="center" wrapText="1"/>
    </xf>
    <xf numFmtId="165" fontId="80" fillId="62" borderId="0" xfId="286" applyNumberFormat="1" applyFont="1" applyFill="1" applyBorder="1" applyAlignment="1">
      <alignment horizontal="right" vertical="center" wrapText="1"/>
    </xf>
    <xf numFmtId="168" fontId="82" fillId="62" borderId="19" xfId="0" applyNumberFormat="1" applyFont="1" applyFill="1" applyBorder="1" applyAlignment="1">
      <alignment horizontal="justify" vertical="center" wrapText="1"/>
    </xf>
    <xf numFmtId="165" fontId="53" fillId="62" borderId="0" xfId="286" applyNumberFormat="1" applyFont="1" applyFill="1" applyBorder="1" applyAlignment="1">
      <alignment horizontal="right" vertical="center" wrapText="1"/>
    </xf>
    <xf numFmtId="0" fontId="93" fillId="0" borderId="0" xfId="0" applyFont="1"/>
    <xf numFmtId="49" fontId="53" fillId="0" borderId="23" xfId="386" applyNumberFormat="1" applyFont="1" applyFill="1" applyBorder="1" applyAlignment="1">
      <alignment horizontal="center" vertical="center" wrapText="1"/>
    </xf>
    <xf numFmtId="0" fontId="81" fillId="62" borderId="19" xfId="0" applyFont="1" applyFill="1" applyBorder="1" applyAlignment="1">
      <alignment vertical="center" wrapText="1"/>
    </xf>
    <xf numFmtId="165" fontId="53" fillId="62" borderId="0" xfId="386" applyNumberFormat="1" applyFont="1" applyFill="1" applyBorder="1" applyAlignment="1">
      <alignment horizontal="right" wrapText="1"/>
    </xf>
    <xf numFmtId="49" fontId="54" fillId="64" borderId="12" xfId="387" applyNumberFormat="1" applyFont="1" applyFill="1" applyBorder="1" applyAlignment="1">
      <alignment horizontal="center" vertical="top" wrapText="1"/>
    </xf>
    <xf numFmtId="0" fontId="54" fillId="64" borderId="12" xfId="0" applyFont="1" applyFill="1" applyBorder="1" applyAlignment="1">
      <alignment vertical="top" wrapText="1"/>
    </xf>
    <xf numFmtId="165" fontId="83" fillId="64" borderId="12" xfId="387" applyNumberFormat="1" applyFont="1" applyFill="1" applyBorder="1" applyAlignment="1">
      <alignment horizontal="center" vertical="top" wrapText="1"/>
    </xf>
    <xf numFmtId="0" fontId="58" fillId="64" borderId="0" xfId="0" applyFont="1" applyFill="1"/>
    <xf numFmtId="49" fontId="90" fillId="62" borderId="12" xfId="387" applyNumberFormat="1" applyFont="1" applyFill="1" applyBorder="1" applyAlignment="1">
      <alignment horizontal="center" wrapText="1"/>
    </xf>
    <xf numFmtId="0" fontId="90" fillId="62" borderId="12" xfId="387" applyFont="1" applyFill="1" applyBorder="1" applyAlignment="1">
      <alignment wrapText="1"/>
    </xf>
    <xf numFmtId="165" fontId="89" fillId="0" borderId="12" xfId="387" applyNumberFormat="1" applyFont="1" applyFill="1" applyBorder="1" applyAlignment="1">
      <alignment horizontal="center" vertical="top" wrapText="1"/>
    </xf>
    <xf numFmtId="0" fontId="87" fillId="0" borderId="0" xfId="0" applyFont="1"/>
    <xf numFmtId="0" fontId="78" fillId="62" borderId="23" xfId="0" applyFont="1" applyFill="1" applyBorder="1" applyAlignment="1">
      <alignment horizontal="center" vertical="center" wrapText="1"/>
    </xf>
    <xf numFmtId="165" fontId="83" fillId="61" borderId="12" xfId="387" applyNumberFormat="1" applyFont="1" applyFill="1" applyBorder="1" applyAlignment="1">
      <alignment horizontal="center" vertical="top" wrapText="1"/>
    </xf>
    <xf numFmtId="0" fontId="90" fillId="62" borderId="12" xfId="387" applyFont="1" applyFill="1" applyBorder="1" applyAlignment="1">
      <alignment horizontal="center" vertical="top" wrapText="1"/>
    </xf>
    <xf numFmtId="49" fontId="90" fillId="62" borderId="12" xfId="387" applyNumberFormat="1" applyFont="1" applyFill="1" applyBorder="1" applyAlignment="1">
      <alignment horizontal="center" vertical="top" wrapText="1"/>
    </xf>
    <xf numFmtId="0" fontId="54" fillId="62" borderId="12" xfId="387" applyFont="1" applyFill="1" applyBorder="1" applyAlignment="1">
      <alignment wrapText="1"/>
    </xf>
    <xf numFmtId="0" fontId="46" fillId="62" borderId="12" xfId="0" applyFont="1" applyFill="1" applyBorder="1" applyAlignment="1">
      <alignment vertical="center" wrapText="1"/>
    </xf>
    <xf numFmtId="49" fontId="54" fillId="62" borderId="12" xfId="387" applyNumberFormat="1" applyFont="1" applyFill="1" applyBorder="1" applyAlignment="1">
      <alignment horizontal="center" vertical="center" wrapText="1"/>
    </xf>
    <xf numFmtId="0" fontId="46" fillId="62" borderId="12" xfId="387" applyFont="1" applyFill="1" applyBorder="1" applyAlignment="1">
      <alignment horizontal="justify"/>
    </xf>
    <xf numFmtId="0" fontId="0" fillId="0" borderId="0" xfId="0" applyFont="1"/>
    <xf numFmtId="165" fontId="56" fillId="62" borderId="0" xfId="0" applyNumberFormat="1" applyFont="1" applyFill="1"/>
    <xf numFmtId="49" fontId="46" fillId="64" borderId="12" xfId="387" applyNumberFormat="1" applyFont="1" applyFill="1" applyBorder="1" applyAlignment="1">
      <alignment horizontal="center" vertical="top" wrapText="1"/>
    </xf>
    <xf numFmtId="0" fontId="54" fillId="64" borderId="12" xfId="387" applyFont="1" applyFill="1" applyBorder="1" applyAlignment="1">
      <alignment horizontal="left" vertical="top" wrapText="1"/>
    </xf>
    <xf numFmtId="165" fontId="83" fillId="61" borderId="12" xfId="387" applyNumberFormat="1" applyFont="1" applyFill="1" applyBorder="1" applyAlignment="1">
      <alignment horizontal="center" wrapText="1"/>
    </xf>
    <xf numFmtId="165" fontId="54" fillId="62" borderId="20" xfId="387" applyNumberFormat="1" applyFont="1" applyFill="1" applyBorder="1" applyAlignment="1">
      <alignment horizontal="center" vertical="top" wrapText="1"/>
    </xf>
    <xf numFmtId="0" fontId="68" fillId="0" borderId="0" xfId="386" applyFont="1" applyAlignment="1">
      <alignment horizontal="center" vertical="center"/>
    </xf>
    <xf numFmtId="165" fontId="46" fillId="0" borderId="12" xfId="387" applyNumberFormat="1" applyFont="1" applyFill="1" applyBorder="1" applyAlignment="1">
      <alignment horizontal="center" wrapText="1"/>
    </xf>
    <xf numFmtId="165" fontId="46" fillId="0" borderId="20" xfId="387" applyNumberFormat="1" applyFont="1" applyFill="1" applyBorder="1" applyAlignment="1">
      <alignment horizontal="center" vertical="top" wrapText="1"/>
    </xf>
    <xf numFmtId="0" fontId="54" fillId="62" borderId="12" xfId="387" applyFont="1" applyFill="1" applyBorder="1" applyAlignment="1">
      <alignment vertical="center" wrapText="1"/>
    </xf>
    <xf numFmtId="0" fontId="54" fillId="62" borderId="12" xfId="387" applyFont="1" applyFill="1" applyBorder="1" applyAlignment="1">
      <alignment horizontal="left" vertical="center" wrapText="1"/>
    </xf>
    <xf numFmtId="49" fontId="54" fillId="0" borderId="12" xfId="387" applyNumberFormat="1" applyFont="1" applyFill="1" applyBorder="1" applyAlignment="1">
      <alignment horizontal="center" vertical="center" wrapText="1"/>
    </xf>
    <xf numFmtId="0" fontId="54" fillId="0" borderId="12" xfId="387" applyFont="1" applyFill="1" applyBorder="1" applyAlignment="1">
      <alignment vertical="center" wrapText="1"/>
    </xf>
    <xf numFmtId="165" fontId="70" fillId="62" borderId="12" xfId="286" applyNumberFormat="1" applyFont="1" applyFill="1" applyBorder="1" applyAlignment="1">
      <alignment horizontal="center" vertical="center" wrapText="1"/>
    </xf>
    <xf numFmtId="49" fontId="62" fillId="62" borderId="12" xfId="387" applyNumberFormat="1" applyFont="1" applyFill="1" applyBorder="1" applyAlignment="1">
      <alignment horizontal="center" wrapText="1"/>
    </xf>
    <xf numFmtId="169" fontId="71" fillId="62" borderId="12" xfId="386" applyNumberFormat="1" applyFont="1" applyFill="1" applyBorder="1" applyAlignment="1">
      <alignment horizontal="center" vertical="center" wrapText="1"/>
    </xf>
    <xf numFmtId="0" fontId="0" fillId="62" borderId="0" xfId="0" applyFill="1"/>
    <xf numFmtId="168" fontId="76" fillId="62" borderId="19" xfId="386" applyNumberFormat="1" applyFont="1" applyFill="1" applyBorder="1" applyAlignment="1">
      <alignment horizontal="justify" vertical="center" wrapText="1"/>
    </xf>
    <xf numFmtId="0" fontId="62" fillId="62" borderId="12" xfId="387" applyFont="1" applyFill="1" applyBorder="1" applyAlignment="1">
      <alignment horizontal="center" vertical="top" wrapText="1"/>
    </xf>
    <xf numFmtId="49" fontId="62" fillId="62" borderId="12" xfId="387" applyNumberFormat="1" applyFont="1" applyFill="1" applyBorder="1" applyAlignment="1">
      <alignment horizontal="center" wrapText="1"/>
    </xf>
    <xf numFmtId="171" fontId="83" fillId="69" borderId="12" xfId="387" applyNumberFormat="1" applyFont="1" applyFill="1" applyBorder="1" applyAlignment="1">
      <alignment horizontal="center" wrapText="1"/>
    </xf>
    <xf numFmtId="49" fontId="62" fillId="62" borderId="12" xfId="387" applyNumberFormat="1" applyFont="1" applyFill="1" applyBorder="1" applyAlignment="1">
      <alignment horizontal="center" wrapText="1"/>
    </xf>
    <xf numFmtId="168" fontId="71" fillId="61" borderId="19" xfId="386" applyNumberFormat="1" applyFont="1" applyFill="1" applyBorder="1" applyAlignment="1">
      <alignment horizontal="justify" vertical="center" wrapText="1"/>
    </xf>
    <xf numFmtId="165" fontId="82" fillId="61" borderId="12" xfId="286" applyNumberFormat="1" applyFont="1" applyFill="1" applyBorder="1" applyAlignment="1">
      <alignment horizontal="center" vertical="center" wrapText="1"/>
    </xf>
    <xf numFmtId="168" fontId="76" fillId="0" borderId="12" xfId="386" applyNumberFormat="1" applyFont="1" applyFill="1" applyBorder="1" applyAlignment="1">
      <alignment horizontal="center" vertical="center" wrapText="1"/>
    </xf>
    <xf numFmtId="0" fontId="81" fillId="62" borderId="0" xfId="387" applyFont="1" applyFill="1" applyAlignment="1">
      <alignment vertical="center" wrapText="1"/>
    </xf>
    <xf numFmtId="0" fontId="81" fillId="0" borderId="0" xfId="387" applyFont="1" applyAlignment="1">
      <alignment horizontal="right"/>
    </xf>
    <xf numFmtId="0" fontId="71" fillId="0" borderId="0" xfId="386" applyNumberFormat="1" applyFont="1" applyFill="1" applyBorder="1" applyAlignment="1">
      <alignment horizontal="center" vertical="center" wrapText="1"/>
    </xf>
    <xf numFmtId="0" fontId="70" fillId="62" borderId="0" xfId="387" applyFont="1" applyFill="1" applyAlignment="1">
      <alignment horizontal="right" vertical="center" wrapText="1"/>
    </xf>
    <xf numFmtId="49" fontId="73" fillId="0" borderId="12" xfId="386" applyNumberFormat="1" applyFont="1" applyFill="1" applyBorder="1" applyAlignment="1">
      <alignment horizontal="center" vertical="center" wrapText="1"/>
    </xf>
    <xf numFmtId="0" fontId="68" fillId="0" borderId="12" xfId="386" applyFont="1" applyBorder="1" applyAlignment="1">
      <alignment horizontal="center" vertical="center" wrapText="1"/>
    </xf>
    <xf numFmtId="0" fontId="68" fillId="0" borderId="0" xfId="386" applyFont="1" applyAlignment="1">
      <alignment horizontal="right" vertical="center"/>
    </xf>
    <xf numFmtId="49" fontId="73" fillId="0" borderId="12" xfId="386" applyNumberFormat="1" applyFont="1" applyFill="1" applyBorder="1" applyAlignment="1">
      <alignment horizontal="center" vertical="center" wrapText="1"/>
    </xf>
    <xf numFmtId="0" fontId="61" fillId="0" borderId="12" xfId="0" applyFont="1" applyBorder="1"/>
    <xf numFmtId="170" fontId="71" fillId="61" borderId="12" xfId="386" applyNumberFormat="1" applyFont="1" applyFill="1" applyBorder="1" applyAlignment="1">
      <alignment horizontal="center" vertical="center" wrapText="1"/>
    </xf>
    <xf numFmtId="170" fontId="71" fillId="62" borderId="12" xfId="386" applyNumberFormat="1" applyFont="1" applyFill="1" applyBorder="1" applyAlignment="1">
      <alignment horizontal="center" vertical="center" wrapText="1"/>
    </xf>
    <xf numFmtId="0" fontId="81" fillId="0" borderId="0" xfId="387" applyFont="1" applyAlignment="1"/>
    <xf numFmtId="49" fontId="62" fillId="62" borderId="12" xfId="387" applyNumberFormat="1" applyFont="1" applyFill="1" applyBorder="1" applyAlignment="1">
      <alignment horizontal="center" wrapText="1"/>
    </xf>
    <xf numFmtId="171" fontId="83" fillId="62" borderId="12" xfId="387" applyNumberFormat="1" applyFont="1" applyFill="1" applyBorder="1" applyAlignment="1">
      <alignment horizontal="center" wrapText="1"/>
    </xf>
    <xf numFmtId="171" fontId="83" fillId="63" borderId="12" xfId="387" applyNumberFormat="1" applyFont="1" applyFill="1" applyBorder="1" applyAlignment="1">
      <alignment horizontal="center" wrapText="1"/>
    </xf>
    <xf numFmtId="171" fontId="83" fillId="64" borderId="12" xfId="387" applyNumberFormat="1" applyFont="1" applyFill="1" applyBorder="1" applyAlignment="1">
      <alignment horizontal="center" wrapText="1"/>
    </xf>
    <xf numFmtId="171" fontId="62" fillId="62" borderId="12" xfId="387" applyNumberFormat="1" applyFont="1" applyFill="1" applyBorder="1" applyAlignment="1">
      <alignment horizontal="center" wrapText="1"/>
    </xf>
    <xf numFmtId="171" fontId="62" fillId="0" borderId="12" xfId="387" applyNumberFormat="1" applyFont="1" applyFill="1" applyBorder="1" applyAlignment="1">
      <alignment horizontal="center" wrapText="1"/>
    </xf>
    <xf numFmtId="171" fontId="83" fillId="64" borderId="12" xfId="387" applyNumberFormat="1" applyFont="1" applyFill="1" applyBorder="1" applyAlignment="1">
      <alignment horizontal="center"/>
    </xf>
    <xf numFmtId="171" fontId="46" fillId="62" borderId="12" xfId="387" applyNumberFormat="1" applyFont="1" applyFill="1" applyBorder="1" applyAlignment="1">
      <alignment horizontal="center" vertical="top" wrapText="1"/>
    </xf>
    <xf numFmtId="171" fontId="46" fillId="0" borderId="12" xfId="387" applyNumberFormat="1" applyFont="1" applyFill="1" applyBorder="1" applyAlignment="1">
      <alignment horizontal="center" vertical="top" wrapText="1"/>
    </xf>
    <xf numFmtId="171" fontId="62" fillId="62" borderId="12" xfId="387" applyNumberFormat="1" applyFont="1" applyFill="1" applyBorder="1" applyAlignment="1">
      <alignment horizontal="center"/>
    </xf>
    <xf numFmtId="171" fontId="46" fillId="62" borderId="12" xfId="387" applyNumberFormat="1" applyFont="1" applyFill="1" applyBorder="1" applyAlignment="1">
      <alignment horizontal="center"/>
    </xf>
    <xf numFmtId="171" fontId="46" fillId="62" borderId="12" xfId="387" applyNumberFormat="1" applyFont="1" applyFill="1" applyBorder="1" applyAlignment="1">
      <alignment horizontal="center" wrapText="1"/>
    </xf>
    <xf numFmtId="171" fontId="62" fillId="0" borderId="12" xfId="387" applyNumberFormat="1" applyFont="1" applyFill="1" applyBorder="1" applyAlignment="1">
      <alignment horizontal="center" vertical="center" wrapText="1"/>
    </xf>
    <xf numFmtId="171" fontId="46" fillId="0" borderId="12" xfId="387" applyNumberFormat="1" applyFont="1" applyFill="1" applyBorder="1" applyAlignment="1">
      <alignment horizontal="center" vertical="center" wrapText="1"/>
    </xf>
    <xf numFmtId="171" fontId="62" fillId="0" borderId="12" xfId="387" applyNumberFormat="1" applyFont="1" applyFill="1" applyBorder="1" applyAlignment="1">
      <alignment horizontal="center" vertical="top" wrapText="1"/>
    </xf>
    <xf numFmtId="171" fontId="90" fillId="62" borderId="12" xfId="387" applyNumberFormat="1" applyFont="1" applyFill="1" applyBorder="1" applyAlignment="1">
      <alignment horizontal="center" wrapText="1"/>
    </xf>
    <xf numFmtId="171" fontId="90" fillId="62" borderId="12" xfId="387" applyNumberFormat="1" applyFont="1" applyFill="1" applyBorder="1" applyAlignment="1">
      <alignment horizontal="center" vertical="top" wrapText="1"/>
    </xf>
    <xf numFmtId="171" fontId="46" fillId="0" borderId="12" xfId="387" applyNumberFormat="1" applyFont="1" applyFill="1" applyBorder="1" applyAlignment="1">
      <alignment horizontal="center" wrapText="1"/>
    </xf>
    <xf numFmtId="171" fontId="54" fillId="64" borderId="12" xfId="387" applyNumberFormat="1" applyFont="1" applyFill="1" applyBorder="1" applyAlignment="1">
      <alignment horizontal="center" wrapText="1"/>
    </xf>
    <xf numFmtId="171" fontId="89" fillId="62" borderId="12" xfId="387" applyNumberFormat="1" applyFont="1" applyFill="1" applyBorder="1" applyAlignment="1">
      <alignment horizontal="center" wrapText="1"/>
    </xf>
    <xf numFmtId="171" fontId="62" fillId="64" borderId="12" xfId="387" applyNumberFormat="1" applyFont="1" applyFill="1" applyBorder="1" applyAlignment="1">
      <alignment horizontal="center" wrapText="1"/>
    </xf>
    <xf numFmtId="171" fontId="83" fillId="64" borderId="12" xfId="0" applyNumberFormat="1" applyFont="1" applyFill="1" applyBorder="1" applyAlignment="1">
      <alignment horizontal="center"/>
    </xf>
    <xf numFmtId="171" fontId="83" fillId="60" borderId="12" xfId="387" applyNumberFormat="1" applyFont="1" applyFill="1" applyBorder="1" applyAlignment="1">
      <alignment horizontal="center" wrapText="1"/>
    </xf>
    <xf numFmtId="171" fontId="83" fillId="67" borderId="12" xfId="387" applyNumberFormat="1" applyFont="1" applyFill="1" applyBorder="1" applyAlignment="1">
      <alignment horizontal="center" wrapText="1"/>
    </xf>
    <xf numFmtId="171" fontId="83" fillId="60" borderId="12" xfId="387" applyNumberFormat="1" applyFont="1" applyFill="1" applyBorder="1" applyAlignment="1">
      <alignment horizontal="center"/>
    </xf>
    <xf numFmtId="171" fontId="54" fillId="60" borderId="12" xfId="387" applyNumberFormat="1" applyFont="1" applyFill="1" applyBorder="1" applyAlignment="1">
      <alignment horizontal="center" vertical="top" wrapText="1"/>
    </xf>
    <xf numFmtId="171" fontId="54" fillId="62" borderId="12" xfId="387" applyNumberFormat="1" applyFont="1" applyFill="1" applyBorder="1" applyAlignment="1">
      <alignment horizontal="center" vertical="top" wrapText="1"/>
    </xf>
    <xf numFmtId="171" fontId="54" fillId="65" borderId="12" xfId="387" applyNumberFormat="1" applyFont="1" applyFill="1" applyBorder="1" applyAlignment="1">
      <alignment horizontal="center" vertical="top" wrapText="1"/>
    </xf>
    <xf numFmtId="171" fontId="54" fillId="75" borderId="12" xfId="387" applyNumberFormat="1" applyFont="1" applyFill="1" applyBorder="1" applyAlignment="1">
      <alignment horizontal="center" vertical="top" wrapText="1"/>
    </xf>
    <xf numFmtId="171" fontId="54" fillId="61" borderId="12" xfId="387" applyNumberFormat="1" applyFont="1" applyFill="1" applyBorder="1" applyAlignment="1">
      <alignment horizontal="center" vertical="top" wrapText="1"/>
    </xf>
    <xf numFmtId="171" fontId="54" fillId="61" borderId="12" xfId="387" applyNumberFormat="1" applyFont="1" applyFill="1" applyBorder="1" applyAlignment="1">
      <alignment horizontal="center" vertical="top"/>
    </xf>
    <xf numFmtId="171" fontId="46" fillId="62" borderId="12" xfId="387" applyNumberFormat="1" applyFont="1" applyFill="1" applyBorder="1" applyAlignment="1">
      <alignment horizontal="center" vertical="top"/>
    </xf>
    <xf numFmtId="171" fontId="46" fillId="61" borderId="12" xfId="387" applyNumberFormat="1" applyFont="1" applyFill="1" applyBorder="1" applyAlignment="1">
      <alignment horizontal="center" vertical="top" wrapText="1"/>
    </xf>
    <xf numFmtId="171" fontId="54" fillId="65" borderId="12" xfId="387" applyNumberFormat="1" applyFont="1" applyFill="1" applyBorder="1" applyAlignment="1">
      <alignment horizontal="center"/>
    </xf>
    <xf numFmtId="171" fontId="46" fillId="62" borderId="12" xfId="387" applyNumberFormat="1" applyFont="1" applyFill="1" applyBorder="1" applyAlignment="1">
      <alignment horizontal="center" vertical="center" wrapText="1"/>
    </xf>
    <xf numFmtId="171" fontId="54" fillId="73" borderId="12" xfId="387" applyNumberFormat="1" applyFont="1" applyFill="1" applyBorder="1" applyAlignment="1">
      <alignment horizontal="center" vertical="top" wrapText="1"/>
    </xf>
    <xf numFmtId="171" fontId="54" fillId="74" borderId="12" xfId="387" applyNumberFormat="1" applyFont="1" applyFill="1" applyBorder="1" applyAlignment="1">
      <alignment horizontal="center" vertical="top" wrapText="1"/>
    </xf>
    <xf numFmtId="171" fontId="54" fillId="62" borderId="12" xfId="387" applyNumberFormat="1" applyFont="1" applyFill="1" applyBorder="1" applyAlignment="1">
      <alignment horizontal="center" vertical="top"/>
    </xf>
    <xf numFmtId="171" fontId="54" fillId="65" borderId="12" xfId="387" applyNumberFormat="1" applyFont="1" applyFill="1" applyBorder="1" applyAlignment="1">
      <alignment horizontal="center" vertical="top"/>
    </xf>
    <xf numFmtId="171" fontId="54" fillId="72" borderId="12" xfId="387" applyNumberFormat="1" applyFont="1" applyFill="1" applyBorder="1" applyAlignment="1">
      <alignment horizontal="center" vertical="top" wrapText="1"/>
    </xf>
    <xf numFmtId="171" fontId="54" fillId="66" borderId="12" xfId="387" applyNumberFormat="1" applyFont="1" applyFill="1" applyBorder="1" applyAlignment="1">
      <alignment horizontal="center" vertical="top" wrapText="1"/>
    </xf>
    <xf numFmtId="171" fontId="54" fillId="62" borderId="12" xfId="387" applyNumberFormat="1" applyFont="1" applyFill="1" applyBorder="1" applyAlignment="1">
      <alignment horizontal="center" wrapText="1"/>
    </xf>
    <xf numFmtId="171" fontId="83" fillId="61" borderId="12" xfId="387" applyNumberFormat="1" applyFont="1" applyFill="1" applyBorder="1" applyAlignment="1">
      <alignment horizontal="center" wrapText="1"/>
    </xf>
    <xf numFmtId="171" fontId="54" fillId="75" borderId="12" xfId="387" applyNumberFormat="1" applyFont="1" applyFill="1" applyBorder="1" applyAlignment="1">
      <alignment horizontal="center" wrapText="1"/>
    </xf>
    <xf numFmtId="171" fontId="54" fillId="61" borderId="12" xfId="387" applyNumberFormat="1" applyFont="1" applyFill="1" applyBorder="1" applyAlignment="1">
      <alignment horizontal="center" wrapText="1"/>
    </xf>
    <xf numFmtId="171" fontId="90" fillId="0" borderId="12" xfId="387" applyNumberFormat="1" applyFont="1" applyFill="1" applyBorder="1" applyAlignment="1">
      <alignment horizontal="center" vertical="top" wrapText="1"/>
    </xf>
    <xf numFmtId="171" fontId="46" fillId="0" borderId="20" xfId="387" applyNumberFormat="1" applyFont="1" applyFill="1" applyBorder="1" applyAlignment="1">
      <alignment horizontal="center" vertical="top" wrapText="1"/>
    </xf>
    <xf numFmtId="171" fontId="54" fillId="66" borderId="20" xfId="387" applyNumberFormat="1" applyFont="1" applyFill="1" applyBorder="1" applyAlignment="1">
      <alignment horizontal="center" vertical="top" wrapText="1"/>
    </xf>
    <xf numFmtId="171" fontId="46" fillId="62" borderId="20" xfId="387" applyNumberFormat="1" applyFont="1" applyFill="1" applyBorder="1" applyAlignment="1">
      <alignment horizontal="center" vertical="top" wrapText="1"/>
    </xf>
    <xf numFmtId="171" fontId="54" fillId="71" borderId="12" xfId="387" applyNumberFormat="1" applyFont="1" applyFill="1" applyBorder="1" applyAlignment="1">
      <alignment horizontal="center" vertical="top" wrapText="1"/>
    </xf>
    <xf numFmtId="171" fontId="54" fillId="75" borderId="12" xfId="387" applyNumberFormat="1" applyFont="1" applyFill="1" applyBorder="1" applyAlignment="1">
      <alignment horizontal="center" vertical="top"/>
    </xf>
    <xf numFmtId="171" fontId="54" fillId="60" borderId="12" xfId="387" applyNumberFormat="1" applyFont="1" applyFill="1" applyBorder="1" applyAlignment="1">
      <alignment horizontal="center" vertical="top"/>
    </xf>
    <xf numFmtId="171" fontId="46" fillId="75" borderId="12" xfId="387" applyNumberFormat="1" applyFont="1" applyFill="1" applyBorder="1" applyAlignment="1">
      <alignment horizontal="center" vertical="top" wrapText="1"/>
    </xf>
    <xf numFmtId="171" fontId="62" fillId="62" borderId="12" xfId="387" applyNumberFormat="1" applyFont="1" applyFill="1" applyBorder="1" applyAlignment="1">
      <alignment horizontal="center" vertical="center" wrapText="1"/>
    </xf>
    <xf numFmtId="171" fontId="54" fillId="77" borderId="12" xfId="387" applyNumberFormat="1" applyFont="1" applyFill="1" applyBorder="1" applyAlignment="1">
      <alignment horizontal="center" vertical="top" wrapText="1"/>
    </xf>
    <xf numFmtId="49" fontId="62" fillId="62" borderId="12" xfId="387" applyNumberFormat="1" applyFont="1" applyFill="1" applyBorder="1" applyAlignment="1">
      <alignment horizontal="center" wrapText="1"/>
    </xf>
    <xf numFmtId="165" fontId="85" fillId="0" borderId="12" xfId="387" applyNumberFormat="1" applyFont="1" applyFill="1" applyBorder="1" applyAlignment="1">
      <alignment horizontal="center" wrapText="1"/>
    </xf>
    <xf numFmtId="171" fontId="53" fillId="62" borderId="12" xfId="286" applyNumberFormat="1" applyFont="1" applyFill="1" applyBorder="1" applyAlignment="1">
      <alignment horizontal="center" vertical="center" wrapText="1"/>
    </xf>
    <xf numFmtId="171" fontId="76" fillId="68" borderId="12" xfId="386" applyNumberFormat="1" applyFont="1" applyFill="1" applyBorder="1" applyAlignment="1">
      <alignment horizontal="center" vertical="center" wrapText="1"/>
    </xf>
    <xf numFmtId="171" fontId="69" fillId="62" borderId="12" xfId="386" applyNumberFormat="1" applyFont="1" applyFill="1" applyBorder="1" applyAlignment="1">
      <alignment horizontal="center" vertical="center" wrapText="1"/>
    </xf>
    <xf numFmtId="171" fontId="71" fillId="62" borderId="12" xfId="386" applyNumberFormat="1" applyFont="1" applyFill="1" applyBorder="1" applyAlignment="1">
      <alignment horizontal="center" vertical="center" wrapText="1"/>
    </xf>
    <xf numFmtId="171" fontId="76" fillId="62" borderId="12" xfId="386" applyNumberFormat="1" applyFont="1" applyFill="1" applyBorder="1" applyAlignment="1">
      <alignment horizontal="center" vertical="center" wrapText="1"/>
    </xf>
    <xf numFmtId="171" fontId="70" fillId="62" borderId="12" xfId="386" applyNumberFormat="1" applyFont="1" applyFill="1" applyBorder="1" applyAlignment="1">
      <alignment horizontal="center" vertical="center" wrapText="1"/>
    </xf>
    <xf numFmtId="171" fontId="53" fillId="62" borderId="12" xfId="386" applyNumberFormat="1" applyFont="1" applyFill="1" applyBorder="1" applyAlignment="1">
      <alignment horizontal="center" vertical="center" wrapText="1"/>
    </xf>
    <xf numFmtId="171" fontId="79" fillId="62" borderId="12" xfId="286" applyNumberFormat="1" applyFont="1" applyFill="1" applyBorder="1" applyAlignment="1">
      <alignment horizontal="center" vertical="center" wrapText="1"/>
    </xf>
    <xf numFmtId="171" fontId="82" fillId="61" borderId="12" xfId="286" applyNumberFormat="1" applyFont="1" applyFill="1" applyBorder="1" applyAlignment="1">
      <alignment horizontal="center" vertical="center" wrapText="1"/>
    </xf>
    <xf numFmtId="171" fontId="71" fillId="61" borderId="12" xfId="386" applyNumberFormat="1" applyFont="1" applyFill="1" applyBorder="1" applyAlignment="1">
      <alignment horizontal="center" vertical="center" wrapText="1"/>
    </xf>
    <xf numFmtId="171" fontId="80" fillId="61" borderId="12" xfId="286" applyNumberFormat="1" applyFont="1" applyFill="1" applyBorder="1" applyAlignment="1">
      <alignment horizontal="center" vertical="center" wrapText="1"/>
    </xf>
    <xf numFmtId="171" fontId="53" fillId="0" borderId="12" xfId="286" applyNumberFormat="1" applyFont="1" applyFill="1" applyBorder="1" applyAlignment="1">
      <alignment horizontal="center" vertical="center" wrapText="1"/>
    </xf>
    <xf numFmtId="171" fontId="70" fillId="62" borderId="12" xfId="286" applyNumberFormat="1" applyFont="1" applyFill="1" applyBorder="1" applyAlignment="1">
      <alignment horizontal="center" vertical="center" wrapText="1"/>
    </xf>
    <xf numFmtId="171" fontId="69" fillId="62" borderId="12" xfId="286" applyNumberFormat="1" applyFont="1" applyFill="1" applyBorder="1" applyAlignment="1">
      <alignment horizontal="center" vertical="center" wrapText="1"/>
    </xf>
    <xf numFmtId="171" fontId="62" fillId="62" borderId="12" xfId="387" applyNumberFormat="1" applyFont="1" applyFill="1" applyBorder="1" applyAlignment="1">
      <alignment horizontal="center" vertical="top" wrapText="1"/>
    </xf>
    <xf numFmtId="165" fontId="0" fillId="0" borderId="0" xfId="0" applyNumberFormat="1"/>
    <xf numFmtId="171" fontId="71" fillId="60" borderId="12" xfId="386" applyNumberFormat="1" applyFont="1" applyFill="1" applyBorder="1" applyAlignment="1">
      <alignment horizontal="center" vertical="center" wrapText="1"/>
    </xf>
    <xf numFmtId="171" fontId="95" fillId="0" borderId="12" xfId="387" applyNumberFormat="1" applyFont="1" applyFill="1" applyBorder="1" applyAlignment="1">
      <alignment horizontal="center" wrapText="1"/>
    </xf>
    <xf numFmtId="0" fontId="54" fillId="64" borderId="12" xfId="387" applyFont="1" applyFill="1" applyBorder="1" applyAlignment="1">
      <alignment horizontal="left" vertical="center" wrapText="1"/>
    </xf>
    <xf numFmtId="168" fontId="76" fillId="0" borderId="19" xfId="386" applyNumberFormat="1" applyFont="1" applyFill="1" applyBorder="1" applyAlignment="1">
      <alignment horizontal="justify" vertical="center" wrapText="1"/>
    </xf>
    <xf numFmtId="0" fontId="79" fillId="62" borderId="12" xfId="0" applyFont="1" applyFill="1" applyBorder="1"/>
    <xf numFmtId="172" fontId="79" fillId="62" borderId="12" xfId="0" applyNumberFormat="1" applyFont="1" applyFill="1" applyBorder="1"/>
    <xf numFmtId="172" fontId="63" fillId="0" borderId="12" xfId="0" applyNumberFormat="1" applyFont="1" applyBorder="1"/>
    <xf numFmtId="173" fontId="69" fillId="62" borderId="12" xfId="663" applyNumberFormat="1" applyFont="1" applyFill="1" applyBorder="1" applyAlignment="1">
      <alignment vertical="center" wrapText="1"/>
    </xf>
    <xf numFmtId="171" fontId="70" fillId="68" borderId="12" xfId="386" applyNumberFormat="1" applyFont="1" applyFill="1" applyBorder="1" applyAlignment="1">
      <alignment horizontal="center" vertical="center" wrapText="1"/>
    </xf>
    <xf numFmtId="171" fontId="56" fillId="0" borderId="0" xfId="0" applyNumberFormat="1" applyFont="1"/>
    <xf numFmtId="171" fontId="64" fillId="0" borderId="12" xfId="0" applyNumberFormat="1" applyFont="1" applyBorder="1" applyAlignment="1">
      <alignment horizontal="center"/>
    </xf>
    <xf numFmtId="171" fontId="61" fillId="0" borderId="12" xfId="0" applyNumberFormat="1" applyFont="1" applyBorder="1" applyAlignment="1">
      <alignment horizontal="center"/>
    </xf>
    <xf numFmtId="171" fontId="63" fillId="0" borderId="12" xfId="0" applyNumberFormat="1" applyFont="1" applyBorder="1" applyAlignment="1">
      <alignment horizontal="center"/>
    </xf>
    <xf numFmtId="0" fontId="81" fillId="0" borderId="0" xfId="0" applyFont="1" applyAlignment="1"/>
    <xf numFmtId="0" fontId="96" fillId="0" borderId="0" xfId="0" applyFont="1" applyBorder="1" applyAlignment="1">
      <alignment horizontal="center" vertical="center" wrapText="1"/>
    </xf>
    <xf numFmtId="0" fontId="82" fillId="0" borderId="23" xfId="0" applyFont="1" applyBorder="1" applyAlignment="1">
      <alignment horizontal="center" vertical="center" wrapText="1"/>
    </xf>
    <xf numFmtId="0" fontId="82" fillId="68" borderId="12" xfId="0" applyFont="1" applyFill="1" applyBorder="1" applyAlignment="1">
      <alignment horizontal="center" vertical="top" wrapText="1"/>
    </xf>
    <xf numFmtId="0" fontId="82" fillId="68" borderId="12" xfId="0" applyFont="1" applyFill="1" applyBorder="1" applyAlignment="1">
      <alignment vertical="top" wrapText="1"/>
    </xf>
    <xf numFmtId="0" fontId="82" fillId="64" borderId="12" xfId="0" applyFont="1" applyFill="1" applyBorder="1" applyAlignment="1">
      <alignment horizontal="center" vertical="top" wrapText="1"/>
    </xf>
    <xf numFmtId="0" fontId="82" fillId="64" borderId="12" xfId="0" applyFont="1" applyFill="1" applyBorder="1" applyAlignment="1">
      <alignment vertical="top" wrapText="1"/>
    </xf>
    <xf numFmtId="165" fontId="82" fillId="64" borderId="12" xfId="0" applyNumberFormat="1" applyFont="1" applyFill="1" applyBorder="1" applyAlignment="1">
      <alignment horizontal="center" vertical="center" wrapText="1"/>
    </xf>
    <xf numFmtId="0" fontId="0" fillId="64" borderId="0" xfId="0" applyFill="1"/>
    <xf numFmtId="0" fontId="82" fillId="60" borderId="12" xfId="0" applyFont="1" applyFill="1" applyBorder="1" applyAlignment="1">
      <alignment horizontal="center" vertical="top" wrapText="1"/>
    </xf>
    <xf numFmtId="0" fontId="82" fillId="60" borderId="12" xfId="0" applyFont="1" applyFill="1" applyBorder="1" applyAlignment="1">
      <alignment vertical="top" wrapText="1"/>
    </xf>
    <xf numFmtId="165" fontId="82" fillId="60" borderId="12" xfId="0" applyNumberFormat="1" applyFont="1" applyFill="1" applyBorder="1" applyAlignment="1">
      <alignment horizontal="center" vertical="center" wrapText="1"/>
    </xf>
    <xf numFmtId="0" fontId="53" fillId="60" borderId="12" xfId="0" applyFont="1" applyFill="1" applyBorder="1" applyAlignment="1">
      <alignment horizontal="center" vertical="top" wrapText="1"/>
    </xf>
    <xf numFmtId="0" fontId="53" fillId="60" borderId="12" xfId="0" applyFont="1" applyFill="1" applyBorder="1" applyAlignment="1">
      <alignment vertical="top" wrapText="1"/>
    </xf>
    <xf numFmtId="165" fontId="53" fillId="60" borderId="12" xfId="0" applyNumberFormat="1" applyFont="1" applyFill="1" applyBorder="1" applyAlignment="1">
      <alignment horizontal="center" vertical="center" wrapText="1"/>
    </xf>
    <xf numFmtId="0" fontId="0" fillId="60" borderId="0" xfId="0" applyFill="1"/>
    <xf numFmtId="0" fontId="53" fillId="60" borderId="12" xfId="0" applyFont="1" applyFill="1" applyBorder="1" applyAlignment="1">
      <alignment vertical="justify" wrapText="1"/>
    </xf>
    <xf numFmtId="0" fontId="82" fillId="60" borderId="12" xfId="0" applyFont="1" applyFill="1" applyBorder="1" applyAlignment="1">
      <alignment vertical="justify" wrapText="1"/>
    </xf>
    <xf numFmtId="0" fontId="53" fillId="0" borderId="12" xfId="0" applyFont="1" applyFill="1" applyBorder="1" applyAlignment="1">
      <alignment horizontal="center" vertical="top" wrapText="1"/>
    </xf>
    <xf numFmtId="0" fontId="53" fillId="0" borderId="12" xfId="0" applyFont="1" applyFill="1" applyBorder="1" applyAlignment="1">
      <alignment vertical="justify" wrapText="1"/>
    </xf>
    <xf numFmtId="165" fontId="53" fillId="0" borderId="1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53" fillId="0" borderId="12" xfId="0" applyFont="1" applyBorder="1" applyAlignment="1">
      <alignment horizontal="center" vertical="top" wrapText="1"/>
    </xf>
    <xf numFmtId="0" fontId="97" fillId="0" borderId="12" xfId="0" applyFont="1" applyBorder="1" applyAlignment="1">
      <alignment wrapText="1"/>
    </xf>
    <xf numFmtId="165" fontId="53" fillId="0" borderId="12" xfId="0" applyNumberFormat="1" applyFont="1" applyBorder="1" applyAlignment="1">
      <alignment horizontal="center" vertical="center" wrapText="1"/>
    </xf>
    <xf numFmtId="0" fontId="53" fillId="0" borderId="12" xfId="0" applyFont="1" applyBorder="1" applyAlignment="1">
      <alignment wrapText="1"/>
    </xf>
    <xf numFmtId="0" fontId="53" fillId="62" borderId="12" xfId="0" applyFont="1" applyFill="1" applyBorder="1" applyAlignment="1">
      <alignment vertical="top" wrapText="1"/>
    </xf>
    <xf numFmtId="4" fontId="0" fillId="0" borderId="0" xfId="0" applyNumberFormat="1" applyFill="1"/>
    <xf numFmtId="0" fontId="53" fillId="60" borderId="12" xfId="387" applyFont="1" applyFill="1" applyBorder="1" applyAlignment="1">
      <alignment vertical="center" wrapText="1"/>
    </xf>
    <xf numFmtId="0" fontId="0" fillId="60" borderId="0" xfId="0" applyFont="1" applyFill="1"/>
    <xf numFmtId="0" fontId="53" fillId="0" borderId="12" xfId="0" applyFont="1" applyBorder="1" applyAlignment="1">
      <alignment vertical="justify" wrapText="1"/>
    </xf>
    <xf numFmtId="0" fontId="53" fillId="62" borderId="12" xfId="0" applyFont="1" applyFill="1" applyBorder="1" applyAlignment="1">
      <alignment vertical="justify" wrapText="1"/>
    </xf>
    <xf numFmtId="4" fontId="0" fillId="0" borderId="0" xfId="0" applyNumberFormat="1"/>
    <xf numFmtId="165" fontId="0" fillId="60" borderId="12" xfId="0" applyNumberFormat="1" applyFill="1" applyBorder="1" applyAlignment="1">
      <alignment horizontal="center" vertical="center"/>
    </xf>
    <xf numFmtId="165" fontId="58" fillId="64" borderId="12" xfId="0" applyNumberFormat="1" applyFont="1" applyFill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0" fontId="0" fillId="0" borderId="0" xfId="0" applyBorder="1"/>
    <xf numFmtId="0" fontId="53" fillId="0" borderId="0" xfId="0" applyFont="1" applyBorder="1" applyAlignment="1">
      <alignment vertical="justify" wrapText="1"/>
    </xf>
    <xf numFmtId="165" fontId="53" fillId="0" borderId="0" xfId="0" applyNumberFormat="1" applyFont="1" applyBorder="1" applyAlignment="1">
      <alignment horizontal="center" vertical="center" wrapText="1"/>
    </xf>
    <xf numFmtId="171" fontId="82" fillId="64" borderId="12" xfId="0" applyNumberFormat="1" applyFont="1" applyFill="1" applyBorder="1" applyAlignment="1">
      <alignment horizontal="center" vertical="center" wrapText="1"/>
    </xf>
    <xf numFmtId="171" fontId="82" fillId="60" borderId="12" xfId="0" applyNumberFormat="1" applyFont="1" applyFill="1" applyBorder="1" applyAlignment="1">
      <alignment horizontal="center" vertical="center" wrapText="1"/>
    </xf>
    <xf numFmtId="171" fontId="53" fillId="60" borderId="12" xfId="0" applyNumberFormat="1" applyFont="1" applyFill="1" applyBorder="1" applyAlignment="1">
      <alignment horizontal="center" vertical="center" wrapText="1"/>
    </xf>
    <xf numFmtId="171" fontId="53" fillId="0" borderId="12" xfId="0" applyNumberFormat="1" applyFont="1" applyFill="1" applyBorder="1" applyAlignment="1">
      <alignment horizontal="center" vertical="center" wrapText="1"/>
    </xf>
    <xf numFmtId="171" fontId="53" fillId="62" borderId="12" xfId="0" applyNumberFormat="1" applyFont="1" applyFill="1" applyBorder="1" applyAlignment="1">
      <alignment horizontal="center" vertical="center" wrapText="1"/>
    </xf>
    <xf numFmtId="171" fontId="53" fillId="0" borderId="12" xfId="0" applyNumberFormat="1" applyFont="1" applyBorder="1" applyAlignment="1">
      <alignment horizontal="center" vertical="center" wrapText="1"/>
    </xf>
    <xf numFmtId="171" fontId="62" fillId="0" borderId="12" xfId="387" applyNumberFormat="1" applyFont="1" applyFill="1" applyBorder="1" applyAlignment="1">
      <alignment horizontal="center"/>
    </xf>
    <xf numFmtId="171" fontId="46" fillId="0" borderId="12" xfId="387" applyNumberFormat="1" applyFont="1" applyFill="1" applyBorder="1" applyAlignment="1">
      <alignment horizontal="center"/>
    </xf>
    <xf numFmtId="171" fontId="46" fillId="0" borderId="12" xfId="387" applyNumberFormat="1" applyFont="1" applyFill="1" applyBorder="1" applyAlignment="1">
      <alignment horizontal="center" vertical="top"/>
    </xf>
    <xf numFmtId="171" fontId="90" fillId="0" borderId="12" xfId="387" applyNumberFormat="1" applyFont="1" applyFill="1" applyBorder="1" applyAlignment="1">
      <alignment horizontal="center" wrapText="1"/>
    </xf>
    <xf numFmtId="171" fontId="89" fillId="0" borderId="12" xfId="387" applyNumberFormat="1" applyFont="1" applyFill="1" applyBorder="1" applyAlignment="1">
      <alignment horizontal="center" wrapText="1"/>
    </xf>
    <xf numFmtId="171" fontId="54" fillId="0" borderId="12" xfId="387" applyNumberFormat="1" applyFont="1" applyFill="1" applyBorder="1" applyAlignment="1">
      <alignment horizontal="center" vertical="top" wrapText="1"/>
    </xf>
    <xf numFmtId="171" fontId="83" fillId="0" borderId="12" xfId="387" applyNumberFormat="1" applyFont="1" applyFill="1" applyBorder="1" applyAlignment="1">
      <alignment horizontal="center" wrapText="1"/>
    </xf>
    <xf numFmtId="0" fontId="0" fillId="60" borderId="12" xfId="0" applyFill="1" applyBorder="1"/>
    <xf numFmtId="172" fontId="65" fillId="60" borderId="12" xfId="0" applyNumberFormat="1" applyFont="1" applyFill="1" applyBorder="1"/>
    <xf numFmtId="0" fontId="65" fillId="60" borderId="12" xfId="0" applyFont="1" applyFill="1" applyBorder="1"/>
    <xf numFmtId="0" fontId="61" fillId="60" borderId="12" xfId="0" applyFont="1" applyFill="1" applyBorder="1"/>
    <xf numFmtId="172" fontId="79" fillId="60" borderId="12" xfId="0" applyNumberFormat="1" applyFont="1" applyFill="1" applyBorder="1"/>
    <xf numFmtId="0" fontId="79" fillId="60" borderId="12" xfId="0" applyFont="1" applyFill="1" applyBorder="1"/>
    <xf numFmtId="49" fontId="62" fillId="60" borderId="20" xfId="387" applyNumberFormat="1" applyFont="1" applyFill="1" applyBorder="1" applyAlignment="1">
      <alignment horizontal="center" vertical="center" wrapText="1"/>
    </xf>
    <xf numFmtId="0" fontId="62" fillId="60" borderId="12" xfId="387" applyFont="1" applyFill="1" applyBorder="1" applyAlignment="1">
      <alignment wrapText="1"/>
    </xf>
    <xf numFmtId="49" fontId="62" fillId="60" borderId="12" xfId="387" applyNumberFormat="1" applyFont="1" applyFill="1" applyBorder="1" applyAlignment="1">
      <alignment horizontal="center" wrapText="1"/>
    </xf>
    <xf numFmtId="0" fontId="62" fillId="60" borderId="12" xfId="387" applyFont="1" applyFill="1" applyBorder="1" applyAlignment="1">
      <alignment horizontal="center"/>
    </xf>
    <xf numFmtId="0" fontId="46" fillId="60" borderId="12" xfId="387" applyFont="1" applyFill="1" applyBorder="1" applyAlignment="1">
      <alignment vertical="top" wrapText="1"/>
    </xf>
    <xf numFmtId="0" fontId="46" fillId="60" borderId="12" xfId="470" applyNumberFormat="1" applyFont="1" applyFill="1" applyBorder="1" applyAlignment="1">
      <alignment horizontal="left" vertical="top" wrapText="1"/>
    </xf>
    <xf numFmtId="0" fontId="46" fillId="60" borderId="12" xfId="387" applyFont="1" applyFill="1" applyBorder="1" applyAlignment="1">
      <alignment wrapText="1"/>
    </xf>
    <xf numFmtId="49" fontId="46" fillId="60" borderId="12" xfId="387" applyNumberFormat="1" applyFont="1" applyFill="1" applyBorder="1" applyAlignment="1">
      <alignment horizontal="center" wrapText="1"/>
    </xf>
    <xf numFmtId="49" fontId="46" fillId="60" borderId="24" xfId="387" applyNumberFormat="1" applyFont="1" applyFill="1" applyBorder="1" applyAlignment="1">
      <alignment horizontal="center" wrapText="1"/>
    </xf>
    <xf numFmtId="0" fontId="62" fillId="60" borderId="12" xfId="286" applyFont="1" applyFill="1" applyBorder="1" applyAlignment="1">
      <alignment wrapText="1"/>
    </xf>
    <xf numFmtId="0" fontId="46" fillId="60" borderId="12" xfId="387" applyFont="1" applyFill="1" applyBorder="1" applyAlignment="1">
      <alignment horizontal="justify"/>
    </xf>
    <xf numFmtId="49" fontId="46" fillId="60" borderId="12" xfId="387" applyNumberFormat="1" applyFont="1" applyFill="1" applyBorder="1" applyAlignment="1">
      <alignment horizontal="center" vertical="top" wrapText="1"/>
    </xf>
    <xf numFmtId="0" fontId="46" fillId="60" borderId="12" xfId="387" applyFont="1" applyFill="1" applyBorder="1" applyAlignment="1">
      <alignment horizontal="left" vertical="top" wrapText="1"/>
    </xf>
    <xf numFmtId="0" fontId="89" fillId="60" borderId="12" xfId="387" applyFont="1" applyFill="1" applyBorder="1" applyAlignment="1">
      <alignment horizontal="left" wrapText="1"/>
    </xf>
    <xf numFmtId="0" fontId="89" fillId="60" borderId="12" xfId="387" applyFont="1" applyFill="1" applyBorder="1" applyAlignment="1">
      <alignment wrapText="1"/>
    </xf>
    <xf numFmtId="49" fontId="62" fillId="60" borderId="12" xfId="387" applyNumberFormat="1" applyFont="1" applyFill="1" applyBorder="1" applyAlignment="1">
      <alignment horizontal="center" vertical="top" wrapText="1"/>
    </xf>
    <xf numFmtId="0" fontId="62" fillId="60" borderId="12" xfId="387" applyFont="1" applyFill="1" applyBorder="1" applyAlignment="1">
      <alignment vertical="top" wrapText="1"/>
    </xf>
    <xf numFmtId="0" fontId="62" fillId="60" borderId="12" xfId="387" applyFont="1" applyFill="1" applyBorder="1" applyAlignment="1">
      <alignment horizontal="left" wrapText="1"/>
    </xf>
    <xf numFmtId="0" fontId="46" fillId="60" borderId="12" xfId="387" applyFont="1" applyFill="1" applyBorder="1" applyAlignment="1">
      <alignment horizontal="left" wrapText="1"/>
    </xf>
    <xf numFmtId="0" fontId="46" fillId="60" borderId="12" xfId="387" applyFont="1" applyFill="1" applyBorder="1" applyAlignment="1">
      <alignment horizontal="justify" vertical="top" wrapText="1"/>
    </xf>
    <xf numFmtId="171" fontId="62" fillId="0" borderId="12" xfId="387" applyNumberFormat="1" applyFont="1" applyFill="1" applyBorder="1" applyAlignment="1">
      <alignment horizontal="right" wrapText="1"/>
    </xf>
    <xf numFmtId="0" fontId="69" fillId="0" borderId="0" xfId="386" applyFont="1" applyAlignment="1">
      <alignment horizontal="center" vertical="center"/>
    </xf>
    <xf numFmtId="0" fontId="70" fillId="62" borderId="0" xfId="387" applyFont="1" applyFill="1" applyAlignment="1">
      <alignment horizontal="center" vertical="center" wrapText="1"/>
    </xf>
    <xf numFmtId="0" fontId="71" fillId="0" borderId="0" xfId="386" applyNumberFormat="1" applyFont="1" applyFill="1" applyBorder="1" applyAlignment="1">
      <alignment horizontal="center" vertical="center" wrapText="1"/>
    </xf>
    <xf numFmtId="49" fontId="73" fillId="0" borderId="12" xfId="386" applyNumberFormat="1" applyFont="1" applyFill="1" applyBorder="1" applyAlignment="1">
      <alignment horizontal="center" vertical="center" wrapText="1"/>
    </xf>
    <xf numFmtId="0" fontId="68" fillId="0" borderId="12" xfId="386" applyFont="1" applyBorder="1" applyAlignment="1">
      <alignment horizontal="center" vertical="center" wrapText="1"/>
    </xf>
    <xf numFmtId="0" fontId="68" fillId="0" borderId="24" xfId="386" applyFont="1" applyBorder="1" applyAlignment="1">
      <alignment horizontal="center" vertical="center" wrapText="1"/>
    </xf>
    <xf numFmtId="0" fontId="68" fillId="0" borderId="25" xfId="386" applyFont="1" applyBorder="1" applyAlignment="1">
      <alignment horizontal="center" vertical="center" wrapText="1"/>
    </xf>
    <xf numFmtId="0" fontId="68" fillId="0" borderId="20" xfId="386" applyFont="1" applyBorder="1" applyAlignment="1">
      <alignment horizontal="center" vertical="center" wrapText="1"/>
    </xf>
    <xf numFmtId="0" fontId="68" fillId="0" borderId="0" xfId="386" applyFont="1" applyAlignment="1">
      <alignment horizontal="center" vertical="center"/>
    </xf>
    <xf numFmtId="0" fontId="94" fillId="62" borderId="0" xfId="387" applyFont="1" applyFill="1" applyAlignment="1">
      <alignment horizontal="center" vertical="center"/>
    </xf>
    <xf numFmtId="0" fontId="81" fillId="62" borderId="0" xfId="387" applyFont="1" applyFill="1" applyAlignment="1">
      <alignment horizontal="center" vertical="center" wrapText="1"/>
    </xf>
    <xf numFmtId="0" fontId="81" fillId="0" borderId="0" xfId="387" applyFont="1" applyAlignment="1">
      <alignment horizontal="center"/>
    </xf>
    <xf numFmtId="0" fontId="83" fillId="0" borderId="22" xfId="387" applyFont="1" applyBorder="1" applyAlignment="1">
      <alignment horizontal="center" vertical="center" wrapText="1"/>
    </xf>
    <xf numFmtId="0" fontId="62" fillId="62" borderId="0" xfId="387" applyFont="1" applyFill="1" applyAlignment="1">
      <alignment horizontal="right" vertical="center" wrapText="1"/>
    </xf>
    <xf numFmtId="0" fontId="54" fillId="62" borderId="22" xfId="387" applyFont="1" applyFill="1" applyBorder="1" applyAlignment="1">
      <alignment horizontal="center" vertical="center" wrapText="1"/>
    </xf>
    <xf numFmtId="0" fontId="82" fillId="62" borderId="0" xfId="387" applyFont="1" applyFill="1" applyAlignment="1">
      <alignment horizontal="center" vertical="center" wrapText="1"/>
    </xf>
    <xf numFmtId="0" fontId="53" fillId="62" borderId="0" xfId="387" applyFont="1" applyFill="1" applyAlignment="1">
      <alignment horizontal="center" vertical="center" wrapText="1"/>
    </xf>
    <xf numFmtId="0" fontId="82" fillId="0" borderId="24" xfId="0" applyFont="1" applyBorder="1" applyAlignment="1">
      <alignment horizontal="center" vertical="center" wrapText="1"/>
    </xf>
    <xf numFmtId="0" fontId="82" fillId="0" borderId="20" xfId="0" applyFont="1" applyBorder="1" applyAlignment="1">
      <alignment horizontal="center" vertical="center" wrapText="1"/>
    </xf>
    <xf numFmtId="0" fontId="82" fillId="0" borderId="28" xfId="0" applyFont="1" applyBorder="1" applyAlignment="1">
      <alignment horizontal="center" vertical="center" wrapText="1"/>
    </xf>
    <xf numFmtId="0" fontId="82" fillId="0" borderId="23" xfId="0" applyFont="1" applyBorder="1" applyAlignment="1">
      <alignment horizontal="center" vertical="center" wrapText="1"/>
    </xf>
    <xf numFmtId="0" fontId="96" fillId="0" borderId="0" xfId="0" applyFont="1" applyBorder="1" applyAlignment="1">
      <alignment horizontal="center" vertical="center" wrapText="1"/>
    </xf>
    <xf numFmtId="0" fontId="82" fillId="0" borderId="12" xfId="0" applyFont="1" applyBorder="1" applyAlignment="1">
      <alignment horizontal="center" vertical="center" wrapText="1"/>
    </xf>
    <xf numFmtId="0" fontId="63" fillId="0" borderId="0" xfId="0" applyFont="1" applyAlignment="1">
      <alignment horizontal="center" wrapText="1"/>
    </xf>
    <xf numFmtId="0" fontId="61" fillId="0" borderId="22" xfId="0" applyFont="1" applyBorder="1" applyAlignment="1">
      <alignment horizontal="right"/>
    </xf>
    <xf numFmtId="0" fontId="81" fillId="0" borderId="0" xfId="0" applyFont="1" applyAlignment="1">
      <alignment horizontal="center"/>
    </xf>
    <xf numFmtId="0" fontId="63" fillId="0" borderId="0" xfId="0" applyFont="1" applyAlignment="1">
      <alignment horizontal="center"/>
    </xf>
    <xf numFmtId="0" fontId="62" fillId="62" borderId="24" xfId="387" applyFont="1" applyFill="1" applyBorder="1" applyAlignment="1">
      <alignment horizontal="left" vertical="center" wrapText="1"/>
    </xf>
    <xf numFmtId="0" fontId="62" fillId="62" borderId="25" xfId="387" applyFont="1" applyFill="1" applyBorder="1" applyAlignment="1">
      <alignment horizontal="left" vertical="center" wrapText="1"/>
    </xf>
    <xf numFmtId="0" fontId="62" fillId="62" borderId="20" xfId="387" applyFont="1" applyFill="1" applyBorder="1" applyAlignment="1">
      <alignment horizontal="left" vertical="center" wrapText="1"/>
    </xf>
    <xf numFmtId="49" fontId="62" fillId="62" borderId="24" xfId="387" applyNumberFormat="1" applyFont="1" applyFill="1" applyBorder="1" applyAlignment="1">
      <alignment horizontal="center" vertical="center" wrapText="1"/>
    </xf>
    <xf numFmtId="49" fontId="62" fillId="62" borderId="25" xfId="387" applyNumberFormat="1" applyFont="1" applyFill="1" applyBorder="1" applyAlignment="1">
      <alignment horizontal="center" vertical="center" wrapText="1"/>
    </xf>
    <xf numFmtId="49" fontId="62" fillId="62" borderId="20" xfId="387" applyNumberFormat="1" applyFont="1" applyFill="1" applyBorder="1" applyAlignment="1">
      <alignment horizontal="center" vertical="center" wrapText="1"/>
    </xf>
    <xf numFmtId="0" fontId="62" fillId="60" borderId="24" xfId="387" applyFont="1" applyFill="1" applyBorder="1" applyAlignment="1">
      <alignment horizontal="left" vertical="center" wrapText="1"/>
    </xf>
    <xf numFmtId="0" fontId="62" fillId="60" borderId="20" xfId="387" applyFont="1" applyFill="1" applyBorder="1" applyAlignment="1">
      <alignment horizontal="left" vertical="center" wrapText="1"/>
    </xf>
    <xf numFmtId="0" fontId="62" fillId="0" borderId="24" xfId="387" applyFont="1" applyBorder="1" applyAlignment="1">
      <alignment horizontal="left" vertical="center" wrapText="1"/>
    </xf>
    <xf numFmtId="0" fontId="62" fillId="0" borderId="20" xfId="387" applyFont="1" applyBorder="1" applyAlignment="1">
      <alignment horizontal="left" vertical="center" wrapText="1"/>
    </xf>
    <xf numFmtId="49" fontId="62" fillId="60" borderId="24" xfId="387" applyNumberFormat="1" applyFont="1" applyFill="1" applyBorder="1" applyAlignment="1">
      <alignment horizontal="center" vertical="center" wrapText="1"/>
    </xf>
    <xf numFmtId="49" fontId="62" fillId="60" borderId="20" xfId="387" applyNumberFormat="1" applyFont="1" applyFill="1" applyBorder="1" applyAlignment="1">
      <alignment horizontal="center" vertical="center" wrapText="1"/>
    </xf>
    <xf numFmtId="0" fontId="62" fillId="60" borderId="24" xfId="387" applyFont="1" applyFill="1" applyBorder="1" applyAlignment="1">
      <alignment horizontal="center" vertical="center" wrapText="1"/>
    </xf>
    <xf numFmtId="0" fontId="62" fillId="60" borderId="20" xfId="387" applyFont="1" applyFill="1" applyBorder="1" applyAlignment="1">
      <alignment horizontal="center" vertical="center" wrapText="1"/>
    </xf>
    <xf numFmtId="0" fontId="58" fillId="0" borderId="27" xfId="0" applyFont="1" applyBorder="1" applyAlignment="1">
      <alignment horizontal="center"/>
    </xf>
    <xf numFmtId="0" fontId="0" fillId="60" borderId="24" xfId="0" applyFill="1" applyBorder="1" applyAlignment="1">
      <alignment horizontal="left" vertical="center"/>
    </xf>
    <xf numFmtId="0" fontId="0" fillId="60" borderId="20" xfId="0" applyFill="1" applyBorder="1" applyAlignment="1">
      <alignment horizontal="left" vertical="center"/>
    </xf>
    <xf numFmtId="49" fontId="62" fillId="60" borderId="25" xfId="387" applyNumberFormat="1" applyFont="1" applyFill="1" applyBorder="1" applyAlignment="1">
      <alignment horizontal="center" vertical="center" wrapText="1"/>
    </xf>
    <xf numFmtId="0" fontId="46" fillId="60" borderId="24" xfId="387" applyFont="1" applyFill="1" applyBorder="1" applyAlignment="1">
      <alignment horizontal="left" vertical="center" wrapText="1"/>
    </xf>
    <xf numFmtId="0" fontId="46" fillId="60" borderId="25" xfId="387" applyFont="1" applyFill="1" applyBorder="1" applyAlignment="1">
      <alignment horizontal="left" vertical="center" wrapText="1"/>
    </xf>
    <xf numFmtId="0" fontId="46" fillId="60" borderId="20" xfId="387" applyFont="1" applyFill="1" applyBorder="1" applyAlignment="1">
      <alignment horizontal="left" vertical="center" wrapText="1"/>
    </xf>
    <xf numFmtId="0" fontId="46" fillId="60" borderId="24" xfId="387" applyNumberFormat="1" applyFont="1" applyFill="1" applyBorder="1" applyAlignment="1">
      <alignment horizontal="center" vertical="center" wrapText="1"/>
    </xf>
    <xf numFmtId="0" fontId="46" fillId="60" borderId="20" xfId="387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71" fontId="82" fillId="62" borderId="12" xfId="0" applyNumberFormat="1" applyFont="1" applyFill="1" applyBorder="1" applyAlignment="1">
      <alignment horizontal="center" vertical="center" wrapText="1"/>
    </xf>
    <xf numFmtId="165" fontId="82" fillId="62" borderId="12" xfId="0" applyNumberFormat="1" applyFont="1" applyFill="1" applyBorder="1" applyAlignment="1">
      <alignment horizontal="center" vertical="center" wrapText="1"/>
    </xf>
    <xf numFmtId="165" fontId="53" fillId="62" borderId="12" xfId="0" applyNumberFormat="1" applyFont="1" applyFill="1" applyBorder="1" applyAlignment="1">
      <alignment horizontal="center" vertical="center" wrapText="1"/>
    </xf>
  </cellXfs>
  <cellStyles count="66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Акцент1 2" xfId="7"/>
    <cellStyle name="20% - Акцент1 2 2" xfId="8"/>
    <cellStyle name="20% - Акцент2 2" xfId="9"/>
    <cellStyle name="20% - Акцент2 2 2" xfId="10"/>
    <cellStyle name="20% - Акцент3 2" xfId="11"/>
    <cellStyle name="20% - Акцент3 2 2" xfId="12"/>
    <cellStyle name="20% - Акцент4 2" xfId="13"/>
    <cellStyle name="20% - Акцент4 2 2" xfId="14"/>
    <cellStyle name="20% - Акцент5 2" xfId="15"/>
    <cellStyle name="20% - Акцент5 2 2" xfId="16"/>
    <cellStyle name="20% - Акцент6 2" xfId="17"/>
    <cellStyle name="20% - Акцент6 2 2" xfId="18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40% - Акцент1 2" xfId="25"/>
    <cellStyle name="40% - Акцент1 2 2" xfId="26"/>
    <cellStyle name="40% - Акцент2 2" xfId="27"/>
    <cellStyle name="40% - Акцент2 2 2" xfId="28"/>
    <cellStyle name="40% - Акцент3 2" xfId="29"/>
    <cellStyle name="40% - Акцент3 2 2" xfId="30"/>
    <cellStyle name="40% - Акцент4 2" xfId="31"/>
    <cellStyle name="40% - Акцент4 2 2" xfId="32"/>
    <cellStyle name="40% - Акцент5 2" xfId="33"/>
    <cellStyle name="40% - Акцент5 2 2" xfId="34"/>
    <cellStyle name="40% - Акцент6 2" xfId="35"/>
    <cellStyle name="40% - Акцент6 2 2" xfId="36"/>
    <cellStyle name="60% - Accent1" xfId="37"/>
    <cellStyle name="60% - Accent2" xfId="38"/>
    <cellStyle name="60% - Accent3" xfId="39"/>
    <cellStyle name="60% - Accent4" xfId="40"/>
    <cellStyle name="60% - Accent5" xfId="41"/>
    <cellStyle name="60% - Accent6" xfId="42"/>
    <cellStyle name="60% - Акцент1 2" xfId="43"/>
    <cellStyle name="60% - Акцент2 2" xfId="44"/>
    <cellStyle name="60% - Акцент3 2" xfId="45"/>
    <cellStyle name="60% - Акцент4 2" xfId="46"/>
    <cellStyle name="60% - Акцент5 2" xfId="47"/>
    <cellStyle name="60% - Акцент6 2" xfId="48"/>
    <cellStyle name="Accent1" xfId="49"/>
    <cellStyle name="Accent1 - 20%" xfId="50"/>
    <cellStyle name="Accent1 - 40%" xfId="51"/>
    <cellStyle name="Accent1 - 60%" xfId="52"/>
    <cellStyle name="Accent2" xfId="53"/>
    <cellStyle name="Accent2 - 20%" xfId="54"/>
    <cellStyle name="Accent2 - 40%" xfId="55"/>
    <cellStyle name="Accent2 - 60%" xfId="56"/>
    <cellStyle name="Accent3" xfId="57"/>
    <cellStyle name="Accent3 - 20%" xfId="58"/>
    <cellStyle name="Accent3 - 40%" xfId="59"/>
    <cellStyle name="Accent3 - 60%" xfId="60"/>
    <cellStyle name="Accent3_10" xfId="61"/>
    <cellStyle name="Accent4" xfId="62"/>
    <cellStyle name="Accent4 - 20%" xfId="63"/>
    <cellStyle name="Accent4 - 40%" xfId="64"/>
    <cellStyle name="Accent4 - 60%" xfId="65"/>
    <cellStyle name="Accent4_10" xfId="66"/>
    <cellStyle name="Accent5" xfId="67"/>
    <cellStyle name="Accent5 - 20%" xfId="68"/>
    <cellStyle name="Accent5 - 40%" xfId="69"/>
    <cellStyle name="Accent5 - 60%" xfId="70"/>
    <cellStyle name="Accent5_10" xfId="71"/>
    <cellStyle name="Accent6" xfId="72"/>
    <cellStyle name="Accent6 - 20%" xfId="73"/>
    <cellStyle name="Accent6 - 40%" xfId="74"/>
    <cellStyle name="Accent6 - 60%" xfId="75"/>
    <cellStyle name="Accent6_10" xfId="76"/>
    <cellStyle name="Bad" xfId="77"/>
    <cellStyle name="Calculation" xfId="78"/>
    <cellStyle name="Check Cell" xfId="79"/>
    <cellStyle name="Emphasis 1" xfId="80"/>
    <cellStyle name="Emphasis 2" xfId="81"/>
    <cellStyle name="Emphasis 3" xfId="82"/>
    <cellStyle name="Explanatory Text" xfId="83"/>
    <cellStyle name="Good" xfId="84"/>
    <cellStyle name="Heading 1" xfId="85"/>
    <cellStyle name="Heading 2" xfId="86"/>
    <cellStyle name="Heading 3" xfId="87"/>
    <cellStyle name="Heading 4" xfId="88"/>
    <cellStyle name="Input" xfId="89"/>
    <cellStyle name="Linked Cell" xfId="90"/>
    <cellStyle name="Neutral" xfId="91"/>
    <cellStyle name="Normal" xfId="92"/>
    <cellStyle name="Note" xfId="93"/>
    <cellStyle name="Output" xfId="94"/>
    <cellStyle name="SAPBEXaggData" xfId="95"/>
    <cellStyle name="SAPBEXaggData 2" xfId="96"/>
    <cellStyle name="SAPBEXaggData 3" xfId="97"/>
    <cellStyle name="SAPBEXaggData_Приложения к закону (поправки)" xfId="98"/>
    <cellStyle name="SAPBEXaggDataEmph" xfId="99"/>
    <cellStyle name="SAPBEXaggDataEmph 2" xfId="100"/>
    <cellStyle name="SAPBEXaggDataEmph 3" xfId="101"/>
    <cellStyle name="SAPBEXaggItem" xfId="102"/>
    <cellStyle name="SAPBEXaggItem 2" xfId="103"/>
    <cellStyle name="SAPBEXaggItem 3" xfId="104"/>
    <cellStyle name="SAPBEXaggItem_8" xfId="105"/>
    <cellStyle name="SAPBEXaggItemX" xfId="106"/>
    <cellStyle name="SAPBEXaggItemX 2" xfId="107"/>
    <cellStyle name="SAPBEXaggItemX 3" xfId="108"/>
    <cellStyle name="SAPBEXchaText" xfId="109"/>
    <cellStyle name="SAPBEXchaText 2" xfId="110"/>
    <cellStyle name="SAPBEXchaText 3" xfId="111"/>
    <cellStyle name="SAPBEXexcBad7" xfId="112"/>
    <cellStyle name="SAPBEXexcBad7 2" xfId="113"/>
    <cellStyle name="SAPBEXexcBad7 3" xfId="114"/>
    <cellStyle name="SAPBEXexcBad8" xfId="115"/>
    <cellStyle name="SAPBEXexcBad8 2" xfId="116"/>
    <cellStyle name="SAPBEXexcBad8 3" xfId="117"/>
    <cellStyle name="SAPBEXexcBad9" xfId="118"/>
    <cellStyle name="SAPBEXexcBad9 2" xfId="119"/>
    <cellStyle name="SAPBEXexcBad9 3" xfId="120"/>
    <cellStyle name="SAPBEXexcCritical4" xfId="121"/>
    <cellStyle name="SAPBEXexcCritical4 2" xfId="122"/>
    <cellStyle name="SAPBEXexcCritical4 3" xfId="123"/>
    <cellStyle name="SAPBEXexcCritical5" xfId="124"/>
    <cellStyle name="SAPBEXexcCritical5 2" xfId="125"/>
    <cellStyle name="SAPBEXexcCritical5 3" xfId="126"/>
    <cellStyle name="SAPBEXexcCritical6" xfId="127"/>
    <cellStyle name="SAPBEXexcCritical6 2" xfId="128"/>
    <cellStyle name="SAPBEXexcCritical6 3" xfId="129"/>
    <cellStyle name="SAPBEXexcGood1" xfId="130"/>
    <cellStyle name="SAPBEXexcGood1 2" xfId="131"/>
    <cellStyle name="SAPBEXexcGood1 3" xfId="132"/>
    <cellStyle name="SAPBEXexcGood2" xfId="133"/>
    <cellStyle name="SAPBEXexcGood2 2" xfId="134"/>
    <cellStyle name="SAPBEXexcGood2 3" xfId="135"/>
    <cellStyle name="SAPBEXexcGood3" xfId="136"/>
    <cellStyle name="SAPBEXexcGood3 2" xfId="137"/>
    <cellStyle name="SAPBEXexcGood3 3" xfId="138"/>
    <cellStyle name="SAPBEXfilterDrill" xfId="139"/>
    <cellStyle name="SAPBEXfilterDrill 2" xfId="140"/>
    <cellStyle name="SAPBEXfilterDrill 3" xfId="141"/>
    <cellStyle name="SAPBEXfilterItem" xfId="142"/>
    <cellStyle name="SAPBEXfilterItem 2" xfId="143"/>
    <cellStyle name="SAPBEXfilterItem 3" xfId="144"/>
    <cellStyle name="SAPBEXfilterText" xfId="145"/>
    <cellStyle name="SAPBEXfilterText 2" xfId="146"/>
    <cellStyle name="SAPBEXfilterText 3" xfId="147"/>
    <cellStyle name="SAPBEXformats" xfId="148"/>
    <cellStyle name="SAPBEXformats 2" xfId="149"/>
    <cellStyle name="SAPBEXformats 3" xfId="150"/>
    <cellStyle name="SAPBEXheaderItem" xfId="151"/>
    <cellStyle name="SAPBEXheaderItem 2" xfId="152"/>
    <cellStyle name="SAPBEXheaderItem 3" xfId="153"/>
    <cellStyle name="SAPBEXheaderText" xfId="154"/>
    <cellStyle name="SAPBEXheaderText 2" xfId="155"/>
    <cellStyle name="SAPBEXheaderText 3" xfId="156"/>
    <cellStyle name="SAPBEXHLevel0" xfId="157"/>
    <cellStyle name="SAPBEXHLevel0 2" xfId="158"/>
    <cellStyle name="SAPBEXHLevel0 2 2 3" xfId="159"/>
    <cellStyle name="SAPBEXHLevel0X" xfId="160"/>
    <cellStyle name="SAPBEXHLevel0X 2" xfId="161"/>
    <cellStyle name="SAPBEXHLevel0X 3" xfId="162"/>
    <cellStyle name="SAPBEXHLevel1" xfId="163"/>
    <cellStyle name="SAPBEXHLevel1 2" xfId="164"/>
    <cellStyle name="SAPBEXHLevel1X" xfId="165"/>
    <cellStyle name="SAPBEXHLevel1X 2" xfId="166"/>
    <cellStyle name="SAPBEXHLevel1X 3" xfId="167"/>
    <cellStyle name="SAPBEXHLevel2" xfId="168"/>
    <cellStyle name="SAPBEXHLevel2 2" xfId="169"/>
    <cellStyle name="SAPBEXHLevel2X" xfId="170"/>
    <cellStyle name="SAPBEXHLevel2X 2" xfId="171"/>
    <cellStyle name="SAPBEXHLevel2X 3" xfId="172"/>
    <cellStyle name="SAPBEXHLevel3" xfId="173"/>
    <cellStyle name="SAPBEXHLevel3 2" xfId="174"/>
    <cellStyle name="SAPBEXHLevel3 3" xfId="175"/>
    <cellStyle name="SAPBEXHLevel3X" xfId="176"/>
    <cellStyle name="SAPBEXHLevel3X 2" xfId="177"/>
    <cellStyle name="SAPBEXHLevel3X 3" xfId="178"/>
    <cellStyle name="SAPBEXinputData" xfId="179"/>
    <cellStyle name="SAPBEXinputData 2" xfId="180"/>
    <cellStyle name="SAPBEXinputData 3" xfId="181"/>
    <cellStyle name="SAPBEXItemHeader" xfId="182"/>
    <cellStyle name="SAPBEXresData" xfId="183"/>
    <cellStyle name="SAPBEXresData 2" xfId="184"/>
    <cellStyle name="SAPBEXresData 3" xfId="185"/>
    <cellStyle name="SAPBEXresDataEmph" xfId="186"/>
    <cellStyle name="SAPBEXresDataEmph 2" xfId="187"/>
    <cellStyle name="SAPBEXresDataEmph 3" xfId="188"/>
    <cellStyle name="SAPBEXresItem" xfId="189"/>
    <cellStyle name="SAPBEXresItem 2" xfId="190"/>
    <cellStyle name="SAPBEXresItem 3" xfId="191"/>
    <cellStyle name="SAPBEXresItemX" xfId="192"/>
    <cellStyle name="SAPBEXresItemX 2" xfId="193"/>
    <cellStyle name="SAPBEXresItemX 3" xfId="194"/>
    <cellStyle name="SAPBEXstdData" xfId="195"/>
    <cellStyle name="SAPBEXstdData 2" xfId="196"/>
    <cellStyle name="SAPBEXstdData_726-ПК (прил.)" xfId="197"/>
    <cellStyle name="SAPBEXstdDataEmph" xfId="198"/>
    <cellStyle name="SAPBEXstdDataEmph 2" xfId="199"/>
    <cellStyle name="SAPBEXstdDataEmph 3" xfId="200"/>
    <cellStyle name="SAPBEXstdItem" xfId="201"/>
    <cellStyle name="SAPBEXstdItem 2" xfId="202"/>
    <cellStyle name="SAPBEXstdItem 3" xfId="203"/>
    <cellStyle name="SAPBEXstdItem_726-ПК (прил.)" xfId="204"/>
    <cellStyle name="SAPBEXstdItemX" xfId="205"/>
    <cellStyle name="SAPBEXstdItemX 2" xfId="206"/>
    <cellStyle name="SAPBEXstdItemX 3" xfId="207"/>
    <cellStyle name="SAPBEXtitle" xfId="208"/>
    <cellStyle name="SAPBEXtitle 2" xfId="209"/>
    <cellStyle name="SAPBEXtitle 3" xfId="210"/>
    <cellStyle name="SAPBEXunassignedItem" xfId="211"/>
    <cellStyle name="SAPBEXundefined" xfId="212"/>
    <cellStyle name="SAPBEXundefined 2" xfId="213"/>
    <cellStyle name="SAPBEXundefined 3" xfId="214"/>
    <cellStyle name="Sheet Title" xfId="215"/>
    <cellStyle name="Title" xfId="216"/>
    <cellStyle name="Total" xfId="217"/>
    <cellStyle name="Warning Text" xfId="218"/>
    <cellStyle name="Акцент1 2" xfId="219"/>
    <cellStyle name="Акцент2 2" xfId="220"/>
    <cellStyle name="Акцент3 2" xfId="221"/>
    <cellStyle name="Акцент4 2" xfId="222"/>
    <cellStyle name="Акцент5 2" xfId="223"/>
    <cellStyle name="Акцент6 2" xfId="224"/>
    <cellStyle name="Ввод  2" xfId="225"/>
    <cellStyle name="Вывод 2" xfId="226"/>
    <cellStyle name="Вычисление 2" xfId="227"/>
    <cellStyle name="Заголовок 1 2" xfId="228"/>
    <cellStyle name="Заголовок 2 2" xfId="229"/>
    <cellStyle name="Заголовок 3 2" xfId="230"/>
    <cellStyle name="Заголовок 4 2" xfId="231"/>
    <cellStyle name="Итог 2" xfId="232"/>
    <cellStyle name="Контрольная ячейка 2" xfId="233"/>
    <cellStyle name="Название 2" xfId="234"/>
    <cellStyle name="Нейтральный 2" xfId="235"/>
    <cellStyle name="Обычный" xfId="0" builtinId="0"/>
    <cellStyle name="Обычный 10" xfId="236"/>
    <cellStyle name="Обычный 10 2" xfId="237"/>
    <cellStyle name="Обычный 10 2 2" xfId="238"/>
    <cellStyle name="Обычный 10 2 2 2" xfId="239"/>
    <cellStyle name="Обычный 10 2 2 2 2" xfId="240"/>
    <cellStyle name="Обычный 10 2 2 3" xfId="241"/>
    <cellStyle name="Обычный 10 2 3" xfId="242"/>
    <cellStyle name="Обычный 10 2 3 2" xfId="243"/>
    <cellStyle name="Обычный 10 2 4" xfId="244"/>
    <cellStyle name="Обычный 10 3" xfId="245"/>
    <cellStyle name="Обычный 10 3 2" xfId="246"/>
    <cellStyle name="Обычный 10 3 2 2" xfId="247"/>
    <cellStyle name="Обычный 10 3 3" xfId="248"/>
    <cellStyle name="Обычный 10 4" xfId="249"/>
    <cellStyle name="Обычный 10 4 2" xfId="250"/>
    <cellStyle name="Обычный 10 5" xfId="251"/>
    <cellStyle name="Обычный 11" xfId="252"/>
    <cellStyle name="Обычный 11 2" xfId="253"/>
    <cellStyle name="Обычный 11 2 2" xfId="254"/>
    <cellStyle name="Обычный 11 2 2 2" xfId="255"/>
    <cellStyle name="Обычный 11 2 2 2 2" xfId="256"/>
    <cellStyle name="Обычный 11 2 2 2 2 2" xfId="257"/>
    <cellStyle name="Обычный 11 2 2 2 3" xfId="258"/>
    <cellStyle name="Обычный 11 2 2 3" xfId="259"/>
    <cellStyle name="Обычный 11 2 2 3 2" xfId="260"/>
    <cellStyle name="Обычный 11 2 2 4" xfId="261"/>
    <cellStyle name="Обычный 11 2 3" xfId="262"/>
    <cellStyle name="Обычный 11 2 3 2" xfId="263"/>
    <cellStyle name="Обычный 11 2 3 2 2" xfId="264"/>
    <cellStyle name="Обычный 11 2 3 3" xfId="265"/>
    <cellStyle name="Обычный 11 2 4" xfId="266"/>
    <cellStyle name="Обычный 11 2 4 2" xfId="267"/>
    <cellStyle name="Обычный 11 2 5" xfId="268"/>
    <cellStyle name="Обычный 11 3" xfId="269"/>
    <cellStyle name="Обычный 11 4" xfId="270"/>
    <cellStyle name="Обычный 11 4 2" xfId="271"/>
    <cellStyle name="Обычный 11 4 2 2" xfId="272"/>
    <cellStyle name="Обычный 11 4 2 2 2" xfId="273"/>
    <cellStyle name="Обычный 11 4 2 3" xfId="274"/>
    <cellStyle name="Обычный 11 4 3" xfId="275"/>
    <cellStyle name="Обычный 11 4 3 2" xfId="276"/>
    <cellStyle name="Обычный 11 4 4" xfId="277"/>
    <cellStyle name="Обычный 11 5" xfId="278"/>
    <cellStyle name="Обычный 11 5 2" xfId="279"/>
    <cellStyle name="Обычный 11 5 2 2" xfId="280"/>
    <cellStyle name="Обычный 11 5 3" xfId="281"/>
    <cellStyle name="Обычный 11 6" xfId="282"/>
    <cellStyle name="Обычный 11 6 2" xfId="283"/>
    <cellStyle name="Обычный 11 7" xfId="284"/>
    <cellStyle name="Обычный 12" xfId="285"/>
    <cellStyle name="Обычный 13" xfId="286"/>
    <cellStyle name="Обычный 14" xfId="287"/>
    <cellStyle name="Обычный 15" xfId="288"/>
    <cellStyle name="Обычный 15 2" xfId="289"/>
    <cellStyle name="Обычный 15 2 2" xfId="290"/>
    <cellStyle name="Обычный 15 2 2 2" xfId="291"/>
    <cellStyle name="Обычный 15 2 2 2 2" xfId="292"/>
    <cellStyle name="Обычный 15 2 2 3" xfId="293"/>
    <cellStyle name="Обычный 15 2 3" xfId="294"/>
    <cellStyle name="Обычный 15 2 3 2" xfId="295"/>
    <cellStyle name="Обычный 15 2 4" xfId="296"/>
    <cellStyle name="Обычный 15 3" xfId="297"/>
    <cellStyle name="Обычный 15 3 2" xfId="298"/>
    <cellStyle name="Обычный 15 3 2 2" xfId="299"/>
    <cellStyle name="Обычный 15 3 3" xfId="300"/>
    <cellStyle name="Обычный 15 4" xfId="301"/>
    <cellStyle name="Обычный 15 4 2" xfId="302"/>
    <cellStyle name="Обычный 15 5" xfId="303"/>
    <cellStyle name="Обычный 16" xfId="304"/>
    <cellStyle name="Обычный 16 2" xfId="305"/>
    <cellStyle name="Обычный 16 2 2" xfId="306"/>
    <cellStyle name="Обычный 16 2 2 2" xfId="307"/>
    <cellStyle name="Обычный 16 2 2 2 2" xfId="308"/>
    <cellStyle name="Обычный 16 2 2 3" xfId="309"/>
    <cellStyle name="Обычный 16 2 3" xfId="310"/>
    <cellStyle name="Обычный 16 2 3 2" xfId="311"/>
    <cellStyle name="Обычный 16 2 4" xfId="312"/>
    <cellStyle name="Обычный 16 3" xfId="313"/>
    <cellStyle name="Обычный 16 3 2" xfId="314"/>
    <cellStyle name="Обычный 16 3 2 2" xfId="315"/>
    <cellStyle name="Обычный 16 3 3" xfId="316"/>
    <cellStyle name="Обычный 16 4" xfId="317"/>
    <cellStyle name="Обычный 16 4 2" xfId="318"/>
    <cellStyle name="Обычный 16 5" xfId="319"/>
    <cellStyle name="Обычный 16 6 2" xfId="320"/>
    <cellStyle name="Обычный 16 6 2 2" xfId="321"/>
    <cellStyle name="Обычный 16 6 2 2 2" xfId="322"/>
    <cellStyle name="Обычный 16 6 2 2 2 2" xfId="323"/>
    <cellStyle name="Обычный 16 6 2 2 2 2 2" xfId="324"/>
    <cellStyle name="Обычный 16 6 2 2 2 3" xfId="325"/>
    <cellStyle name="Обычный 16 6 2 2 3" xfId="326"/>
    <cellStyle name="Обычный 16 6 2 2 3 2" xfId="327"/>
    <cellStyle name="Обычный 16 6 2 2 4" xfId="328"/>
    <cellStyle name="Обычный 16 6 2 3" xfId="329"/>
    <cellStyle name="Обычный 16 6 2 3 2" xfId="330"/>
    <cellStyle name="Обычный 16 6 2 3 2 2" xfId="331"/>
    <cellStyle name="Обычный 16 6 2 3 3" xfId="332"/>
    <cellStyle name="Обычный 16 6 2 3 4" xfId="333"/>
    <cellStyle name="Обычный 16 6 2 4" xfId="334"/>
    <cellStyle name="Обычный 16 6 2 4 2" xfId="335"/>
    <cellStyle name="Обычный 16 6 2 5" xfId="336"/>
    <cellStyle name="Обычный 17" xfId="337"/>
    <cellStyle name="Обычный 17 2" xfId="338"/>
    <cellStyle name="Обычный 17 2 2" xfId="339"/>
    <cellStyle name="Обычный 17 2 2 2" xfId="340"/>
    <cellStyle name="Обычный 17 2 2 2 2" xfId="341"/>
    <cellStyle name="Обычный 17 2 2 3" xfId="342"/>
    <cellStyle name="Обычный 17 2 3" xfId="343"/>
    <cellStyle name="Обычный 17 2 3 2" xfId="344"/>
    <cellStyle name="Обычный 17 2 4" xfId="345"/>
    <cellStyle name="Обычный 17 3" xfId="346"/>
    <cellStyle name="Обычный 17 3 2" xfId="347"/>
    <cellStyle name="Обычный 17 3 2 2" xfId="348"/>
    <cellStyle name="Обычный 17 3 3" xfId="349"/>
    <cellStyle name="Обычный 17 4" xfId="350"/>
    <cellStyle name="Обычный 17 4 2" xfId="351"/>
    <cellStyle name="Обычный 17 5" xfId="352"/>
    <cellStyle name="Обычный 17 6" xfId="353"/>
    <cellStyle name="Обычный 18" xfId="354"/>
    <cellStyle name="Обычный 18 2" xfId="355"/>
    <cellStyle name="Обычный 18 2 2" xfId="356"/>
    <cellStyle name="Обычный 18 2 2 2" xfId="357"/>
    <cellStyle name="Обычный 18 2 2 2 2" xfId="358"/>
    <cellStyle name="Обычный 18 2 2 3" xfId="359"/>
    <cellStyle name="Обычный 18 2 3" xfId="360"/>
    <cellStyle name="Обычный 18 2 3 2" xfId="361"/>
    <cellStyle name="Обычный 18 2 4" xfId="362"/>
    <cellStyle name="Обычный 18 3" xfId="363"/>
    <cellStyle name="Обычный 18 3 2" xfId="364"/>
    <cellStyle name="Обычный 18 3 2 2" xfId="365"/>
    <cellStyle name="Обычный 18 3 3" xfId="366"/>
    <cellStyle name="Обычный 18 4" xfId="367"/>
    <cellStyle name="Обычный 18 4 2" xfId="368"/>
    <cellStyle name="Обычный 18 5" xfId="369"/>
    <cellStyle name="Обычный 19" xfId="370"/>
    <cellStyle name="Обычный 19 2" xfId="371"/>
    <cellStyle name="Обычный 19 2 2" xfId="372"/>
    <cellStyle name="Обычный 19 2 2 2" xfId="373"/>
    <cellStyle name="Обычный 19 2 2 2 2" xfId="374"/>
    <cellStyle name="Обычный 19 2 2 3" xfId="375"/>
    <cellStyle name="Обычный 19 2 3" xfId="376"/>
    <cellStyle name="Обычный 19 2 3 2" xfId="377"/>
    <cellStyle name="Обычный 19 2 4" xfId="378"/>
    <cellStyle name="Обычный 19 3" xfId="379"/>
    <cellStyle name="Обычный 19 3 2" xfId="380"/>
    <cellStyle name="Обычный 19 3 2 2" xfId="381"/>
    <cellStyle name="Обычный 19 3 3" xfId="382"/>
    <cellStyle name="Обычный 19 4" xfId="383"/>
    <cellStyle name="Обычный 19 4 2" xfId="384"/>
    <cellStyle name="Обычный 19 5" xfId="385"/>
    <cellStyle name="Обычный 2" xfId="386"/>
    <cellStyle name="Обычный 2 2" xfId="387"/>
    <cellStyle name="Обычный 2 2 2" xfId="388"/>
    <cellStyle name="Обычный 2 2 2 2" xfId="389"/>
    <cellStyle name="Обычный 2 2 2 2 2" xfId="390"/>
    <cellStyle name="Обычный 2 2 2 2 2 2" xfId="391"/>
    <cellStyle name="Обычный 2 2 2 2 3" xfId="392"/>
    <cellStyle name="Обычный 2 2 2 3" xfId="393"/>
    <cellStyle name="Обычный 2 2 2 3 2" xfId="394"/>
    <cellStyle name="Обычный 2 2 2 4" xfId="395"/>
    <cellStyle name="Обычный 2 2 3" xfId="396"/>
    <cellStyle name="Обычный 2 2 3 2" xfId="397"/>
    <cellStyle name="Обычный 2 2 3 2 2" xfId="398"/>
    <cellStyle name="Обычный 2 2 3 3" xfId="399"/>
    <cellStyle name="Обычный 2 2 4" xfId="400"/>
    <cellStyle name="Обычный 2 2 4 2" xfId="401"/>
    <cellStyle name="Обычный 2 2 5" xfId="402"/>
    <cellStyle name="Обычный 2 2 6" xfId="403"/>
    <cellStyle name="Обычный 2 3" xfId="404"/>
    <cellStyle name="Обычный 2 3 2" xfId="405"/>
    <cellStyle name="Обычный 2 3 3" xfId="406"/>
    <cellStyle name="Обычный 2 3 3 2" xfId="407"/>
    <cellStyle name="Обычный 2 3 3 2 2" xfId="408"/>
    <cellStyle name="Обычный 2 3 3 2 2 2" xfId="409"/>
    <cellStyle name="Обычный 2 3 3 2 3" xfId="410"/>
    <cellStyle name="Обычный 2 3 3 3" xfId="411"/>
    <cellStyle name="Обычный 2 3 3 3 2" xfId="412"/>
    <cellStyle name="Обычный 2 3 3 4" xfId="413"/>
    <cellStyle name="Обычный 2 3 4" xfId="414"/>
    <cellStyle name="Обычный 2 3 4 2" xfId="415"/>
    <cellStyle name="Обычный 2 3 4 2 2" xfId="416"/>
    <cellStyle name="Обычный 2 3 4 3" xfId="417"/>
    <cellStyle name="Обычный 2 3 5" xfId="418"/>
    <cellStyle name="Обычный 2 3 5 2" xfId="419"/>
    <cellStyle name="Обычный 2 3 6" xfId="420"/>
    <cellStyle name="Обычный 2 4" xfId="421"/>
    <cellStyle name="Обычный 2 4 2" xfId="422"/>
    <cellStyle name="Обычный 2 4 2 2" xfId="423"/>
    <cellStyle name="Обычный 2 4 2 2 2" xfId="424"/>
    <cellStyle name="Обычный 2 4 2 2 2 2" xfId="425"/>
    <cellStyle name="Обычный 2 4 2 2 3" xfId="426"/>
    <cellStyle name="Обычный 2 4 2 3" xfId="427"/>
    <cellStyle name="Обычный 2 4 2 3 2" xfId="428"/>
    <cellStyle name="Обычный 2 4 2 4" xfId="429"/>
    <cellStyle name="Обычный 2 4 3" xfId="430"/>
    <cellStyle name="Обычный 2 4 3 2" xfId="431"/>
    <cellStyle name="Обычный 2 4 3 2 2" xfId="432"/>
    <cellStyle name="Обычный 2 4 3 3" xfId="433"/>
    <cellStyle name="Обычный 2 4 4" xfId="434"/>
    <cellStyle name="Обычный 2 4 4 2" xfId="435"/>
    <cellStyle name="Обычный 2 4 5" xfId="436"/>
    <cellStyle name="Обычный 2 5" xfId="437"/>
    <cellStyle name="Обычный 2 5 2" xfId="438"/>
    <cellStyle name="Обычный 2 5 2 2" xfId="439"/>
    <cellStyle name="Обычный 2 5 2 2 2" xfId="440"/>
    <cellStyle name="Обычный 2 5 2 2 2 2" xfId="441"/>
    <cellStyle name="Обычный 2 5 2 2 3" xfId="442"/>
    <cellStyle name="Обычный 2 5 2 3" xfId="443"/>
    <cellStyle name="Обычный 2 5 2 3 2" xfId="444"/>
    <cellStyle name="Обычный 2 5 2 4" xfId="445"/>
    <cellStyle name="Обычный 2 5 3" xfId="446"/>
    <cellStyle name="Обычный 2 5 3 2" xfId="447"/>
    <cellStyle name="Обычный 2 5 3 2 2" xfId="448"/>
    <cellStyle name="Обычный 2 5 3 3" xfId="449"/>
    <cellStyle name="Обычный 2 5 4" xfId="450"/>
    <cellStyle name="Обычный 2 5 4 2" xfId="451"/>
    <cellStyle name="Обычный 2 5 5" xfId="452"/>
    <cellStyle name="Обычный 2 6" xfId="453"/>
    <cellStyle name="Обычный 2 6 2" xfId="454"/>
    <cellStyle name="Обычный 2 6 2 2" xfId="455"/>
    <cellStyle name="Обычный 2 6 2 2 2" xfId="456"/>
    <cellStyle name="Обычный 2 6 2 2 2 2" xfId="457"/>
    <cellStyle name="Обычный 2 6 2 2 3" xfId="458"/>
    <cellStyle name="Обычный 2 6 2 3" xfId="459"/>
    <cellStyle name="Обычный 2 6 2 3 2" xfId="460"/>
    <cellStyle name="Обычный 2 6 2 4" xfId="461"/>
    <cellStyle name="Обычный 2 6 3" xfId="462"/>
    <cellStyle name="Обычный 2 6 3 2" xfId="463"/>
    <cellStyle name="Обычный 2 6 3 2 2" xfId="464"/>
    <cellStyle name="Обычный 2 6 3 3" xfId="465"/>
    <cellStyle name="Обычный 2 6 4" xfId="466"/>
    <cellStyle name="Обычный 2 6 4 2" xfId="467"/>
    <cellStyle name="Обычный 2 6 5" xfId="468"/>
    <cellStyle name="Обычный 2 7" xfId="469"/>
    <cellStyle name="Обычный 20" xfId="470"/>
    <cellStyle name="Обычный 20 2" xfId="471"/>
    <cellStyle name="Обычный 20 2 2" xfId="472"/>
    <cellStyle name="Обычный 20 2 2 2" xfId="473"/>
    <cellStyle name="Обычный 20 2 2 2 2" xfId="474"/>
    <cellStyle name="Обычный 20 2 2 3" xfId="475"/>
    <cellStyle name="Обычный 20 2 3" xfId="476"/>
    <cellStyle name="Обычный 20 2 3 2" xfId="477"/>
    <cellStyle name="Обычный 20 2 4" xfId="478"/>
    <cellStyle name="Обычный 20 3" xfId="479"/>
    <cellStyle name="Обычный 20 3 2" xfId="480"/>
    <cellStyle name="Обычный 20 3 2 2" xfId="481"/>
    <cellStyle name="Обычный 20 3 3" xfId="482"/>
    <cellStyle name="Обычный 20 4" xfId="483"/>
    <cellStyle name="Обычный 20 4 2" xfId="484"/>
    <cellStyle name="Обычный 20 5" xfId="485"/>
    <cellStyle name="Обычный 21" xfId="486"/>
    <cellStyle name="Обычный 21 2" xfId="487"/>
    <cellStyle name="Обычный 21 2 2" xfId="488"/>
    <cellStyle name="Обычный 21 2 2 2" xfId="489"/>
    <cellStyle name="Обычный 21 2 2 2 2" xfId="490"/>
    <cellStyle name="Обычный 21 2 2 3" xfId="491"/>
    <cellStyle name="Обычный 21 2 3" xfId="492"/>
    <cellStyle name="Обычный 21 2 3 2" xfId="493"/>
    <cellStyle name="Обычный 21 2 4" xfId="494"/>
    <cellStyle name="Обычный 21 3" xfId="495"/>
    <cellStyle name="Обычный 21 3 2" xfId="496"/>
    <cellStyle name="Обычный 21 3 2 2" xfId="497"/>
    <cellStyle name="Обычный 21 3 3" xfId="498"/>
    <cellStyle name="Обычный 21 4" xfId="499"/>
    <cellStyle name="Обычный 21 4 2" xfId="500"/>
    <cellStyle name="Обычный 21 5" xfId="501"/>
    <cellStyle name="Обычный 22" xfId="502"/>
    <cellStyle name="Обычный 22 2" xfId="503"/>
    <cellStyle name="Обычный 22 2 2" xfId="504"/>
    <cellStyle name="Обычный 22 2 2 2" xfId="505"/>
    <cellStyle name="Обычный 22 2 2 2 2" xfId="506"/>
    <cellStyle name="Обычный 22 2 2 3" xfId="507"/>
    <cellStyle name="Обычный 22 2 3" xfId="508"/>
    <cellStyle name="Обычный 22 2 3 2" xfId="509"/>
    <cellStyle name="Обычный 22 2 4" xfId="510"/>
    <cellStyle name="Обычный 22 3" xfId="511"/>
    <cellStyle name="Обычный 22 3 2" xfId="512"/>
    <cellStyle name="Обычный 22 3 2 2" xfId="513"/>
    <cellStyle name="Обычный 22 3 3" xfId="514"/>
    <cellStyle name="Обычный 22 4" xfId="515"/>
    <cellStyle name="Обычный 22 4 2" xfId="516"/>
    <cellStyle name="Обычный 22 5" xfId="517"/>
    <cellStyle name="Обычный 23" xfId="518"/>
    <cellStyle name="Обычный 23 2" xfId="519"/>
    <cellStyle name="Обычный 23 2 2" xfId="520"/>
    <cellStyle name="Обычный 23 2 2 2" xfId="521"/>
    <cellStyle name="Обычный 23 2 2 2 2" xfId="522"/>
    <cellStyle name="Обычный 23 2 2 3" xfId="523"/>
    <cellStyle name="Обычный 23 2 3" xfId="524"/>
    <cellStyle name="Обычный 23 2 3 2" xfId="525"/>
    <cellStyle name="Обычный 23 2 4" xfId="526"/>
    <cellStyle name="Обычный 23 3" xfId="527"/>
    <cellStyle name="Обычный 23 3 2" xfId="528"/>
    <cellStyle name="Обычный 23 3 2 2" xfId="529"/>
    <cellStyle name="Обычный 23 3 3" xfId="530"/>
    <cellStyle name="Обычный 23 4" xfId="531"/>
    <cellStyle name="Обычный 23 4 2" xfId="532"/>
    <cellStyle name="Обычный 23 5" xfId="533"/>
    <cellStyle name="Обычный 24" xfId="534"/>
    <cellStyle name="Обычный 25" xfId="535"/>
    <cellStyle name="Обычный 25 2" xfId="536"/>
    <cellStyle name="Обычный 25 2 2" xfId="537"/>
    <cellStyle name="Обычный 25 2 2 2" xfId="538"/>
    <cellStyle name="Обычный 25 2 2 2 2" xfId="539"/>
    <cellStyle name="Обычный 25 2 2 3" xfId="540"/>
    <cellStyle name="Обычный 25 2 3" xfId="541"/>
    <cellStyle name="Обычный 25 2 3 2" xfId="542"/>
    <cellStyle name="Обычный 25 2 4" xfId="543"/>
    <cellStyle name="Обычный 25 3" xfId="544"/>
    <cellStyle name="Обычный 25 3 2" xfId="545"/>
    <cellStyle name="Обычный 25 3 2 2" xfId="546"/>
    <cellStyle name="Обычный 25 3 3" xfId="547"/>
    <cellStyle name="Обычный 25 4" xfId="548"/>
    <cellStyle name="Обычный 25 4 2" xfId="549"/>
    <cellStyle name="Обычный 25 5" xfId="550"/>
    <cellStyle name="Обычный 26" xfId="551"/>
    <cellStyle name="Обычный 26 2" xfId="552"/>
    <cellStyle name="Обычный 27" xfId="553"/>
    <cellStyle name="Обычный 27 2" xfId="554"/>
    <cellStyle name="Обычный 28" xfId="555"/>
    <cellStyle name="Обычный 28 2" xfId="556"/>
    <cellStyle name="Обычный 29" xfId="557"/>
    <cellStyle name="Обычный 29 2" xfId="558"/>
    <cellStyle name="Обычный 3" xfId="559"/>
    <cellStyle name="Обычный 3 2" xfId="560"/>
    <cellStyle name="Обычный 30" xfId="561"/>
    <cellStyle name="Обычный 30 2" xfId="562"/>
    <cellStyle name="Обычный 31" xfId="563"/>
    <cellStyle name="Обычный 32" xfId="564"/>
    <cellStyle name="Обычный 4" xfId="565"/>
    <cellStyle name="Обычный 4 2" xfId="566"/>
    <cellStyle name="Обычный 4 3" xfId="567"/>
    <cellStyle name="Обычный 4 3 2" xfId="568"/>
    <cellStyle name="Обычный 4 3 2 2" xfId="569"/>
    <cellStyle name="Обычный 4 3 2 2 2" xfId="570"/>
    <cellStyle name="Обычный 4 3 2 2 2 2" xfId="571"/>
    <cellStyle name="Обычный 4 3 2 2 2 2 2" xfId="572"/>
    <cellStyle name="Обычный 4 3 2 2 2 2 2 2" xfId="573"/>
    <cellStyle name="Обычный 4 3 2 2 2 2 3" xfId="574"/>
    <cellStyle name="Обычный 4 3 2 2 2 3" xfId="575"/>
    <cellStyle name="Обычный 4 3 2 2 2 3 2" xfId="576"/>
    <cellStyle name="Обычный 4 3 2 2 2 4" xfId="577"/>
    <cellStyle name="Обычный 4 3 2 2 3" xfId="578"/>
    <cellStyle name="Обычный 4 3 2 2 3 2" xfId="579"/>
    <cellStyle name="Обычный 4 3 2 2 3 2 2" xfId="580"/>
    <cellStyle name="Обычный 4 3 2 2 3 3" xfId="581"/>
    <cellStyle name="Обычный 4 3 2 2 4" xfId="582"/>
    <cellStyle name="Обычный 4 3 2 2 4 2" xfId="583"/>
    <cellStyle name="Обычный 4 3 2 2 5" xfId="584"/>
    <cellStyle name="Обычный 4 3 2 2 5 2" xfId="585"/>
    <cellStyle name="Обычный 4 3 2 2 6" xfId="586"/>
    <cellStyle name="Обычный 4 3 2 3" xfId="587"/>
    <cellStyle name="Обычный 4 3 2 3 2" xfId="588"/>
    <cellStyle name="Обычный 4 3 2 3 2 2" xfId="589"/>
    <cellStyle name="Обычный 4 3 2 3 2 2 2" xfId="590"/>
    <cellStyle name="Обычный 4 3 2 3 2 3" xfId="591"/>
    <cellStyle name="Обычный 4 3 2 3 3" xfId="592"/>
    <cellStyle name="Обычный 4 3 2 3 3 2" xfId="593"/>
    <cellStyle name="Обычный 4 3 2 3 4" xfId="594"/>
    <cellStyle name="Обычный 4 3 2 4" xfId="595"/>
    <cellStyle name="Обычный 4 3 2 4 2" xfId="596"/>
    <cellStyle name="Обычный 4 3 2 4 2 2" xfId="597"/>
    <cellStyle name="Обычный 4 3 2 4 3" xfId="598"/>
    <cellStyle name="Обычный 4 3 2 5" xfId="599"/>
    <cellStyle name="Обычный 4 3 2 5 2" xfId="600"/>
    <cellStyle name="Обычный 4 3 2 6" xfId="601"/>
    <cellStyle name="Обычный 4 3 3" xfId="602"/>
    <cellStyle name="Обычный 4 3 3 2" xfId="603"/>
    <cellStyle name="Обычный 4 3 3 2 2" xfId="604"/>
    <cellStyle name="Обычный 4 3 3 2 2 2" xfId="605"/>
    <cellStyle name="Обычный 4 3 3 2 3" xfId="606"/>
    <cellStyle name="Обычный 4 3 3 3" xfId="607"/>
    <cellStyle name="Обычный 4 3 3 3 2" xfId="608"/>
    <cellStyle name="Обычный 4 3 3 4" xfId="609"/>
    <cellStyle name="Обычный 4 3 4" xfId="610"/>
    <cellStyle name="Обычный 4 3 4 2" xfId="611"/>
    <cellStyle name="Обычный 4 3 4 2 2" xfId="612"/>
    <cellStyle name="Обычный 4 3 4 3" xfId="613"/>
    <cellStyle name="Обычный 4 3 5" xfId="614"/>
    <cellStyle name="Обычный 4 3 5 2" xfId="615"/>
    <cellStyle name="Обычный 4 3 6" xfId="616"/>
    <cellStyle name="Обычный 5" xfId="617"/>
    <cellStyle name="Обычный 5 2" xfId="618"/>
    <cellStyle name="Обычный 6" xfId="619"/>
    <cellStyle name="Обычный 7" xfId="620"/>
    <cellStyle name="Обычный 7 2" xfId="621"/>
    <cellStyle name="Обычный 7 2 2" xfId="622"/>
    <cellStyle name="Обычный 7 2 2 2" xfId="623"/>
    <cellStyle name="Обычный 7 2 2 2 2" xfId="624"/>
    <cellStyle name="Обычный 7 2 2 2 2 2" xfId="625"/>
    <cellStyle name="Обычный 7 2 2 2 3" xfId="626"/>
    <cellStyle name="Обычный 7 2 2 3" xfId="627"/>
    <cellStyle name="Обычный 7 2 2 3 2" xfId="628"/>
    <cellStyle name="Обычный 7 2 2 4" xfId="629"/>
    <cellStyle name="Обычный 7 2 3" xfId="630"/>
    <cellStyle name="Обычный 7 2 3 2" xfId="631"/>
    <cellStyle name="Обычный 7 2 3 2 2" xfId="632"/>
    <cellStyle name="Обычный 7 2 3 3" xfId="633"/>
    <cellStyle name="Обычный 7 2 4" xfId="634"/>
    <cellStyle name="Обычный 7 2 4 2" xfId="635"/>
    <cellStyle name="Обычный 7 2 5" xfId="636"/>
    <cellStyle name="Обычный 7 3" xfId="637"/>
    <cellStyle name="Обычный 8" xfId="638"/>
    <cellStyle name="Обычный 8 2" xfId="639"/>
    <cellStyle name="Обычный 9" xfId="640"/>
    <cellStyle name="Обычный 9 2" xfId="641"/>
    <cellStyle name="Плохой 2" xfId="642"/>
    <cellStyle name="Пояснение 2" xfId="643"/>
    <cellStyle name="Примечание 2" xfId="644"/>
    <cellStyle name="Процентный 2" xfId="645"/>
    <cellStyle name="Процентный 2 2" xfId="646"/>
    <cellStyle name="Процентный 3" xfId="647"/>
    <cellStyle name="Процентный 3 2" xfId="648"/>
    <cellStyle name="Процентный 3 3" xfId="649"/>
    <cellStyle name="Процентный 4" xfId="650"/>
    <cellStyle name="Процентный 5" xfId="651"/>
    <cellStyle name="Процентный 6" xfId="652"/>
    <cellStyle name="Связанная ячейка 2" xfId="653"/>
    <cellStyle name="Стиль 1" xfId="654"/>
    <cellStyle name="Текст предупреждения 2" xfId="655"/>
    <cellStyle name="Финансовый" xfId="663" builtinId="3"/>
    <cellStyle name="Финансовый 2" xfId="656"/>
    <cellStyle name="Финансовый 3" xfId="657"/>
    <cellStyle name="Финансовый 4" xfId="658"/>
    <cellStyle name="Финансовый 5" xfId="659"/>
    <cellStyle name="Финансовый 5 2" xfId="660"/>
    <cellStyle name="Финансовый 6" xfId="661"/>
    <cellStyle name="Хороший 2" xfId="6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7"/>
  <sheetViews>
    <sheetView view="pageBreakPreview" topLeftCell="A184" zoomScale="60" workbookViewId="0">
      <selection activeCell="E107" sqref="E107"/>
    </sheetView>
  </sheetViews>
  <sheetFormatPr defaultRowHeight="15" x14ac:dyDescent="0.25"/>
  <cols>
    <col min="1" max="1" width="30.85546875" style="53" customWidth="1"/>
    <col min="2" max="2" width="92.28515625" style="53" customWidth="1"/>
    <col min="3" max="3" width="18.140625" style="86" hidden="1" customWidth="1"/>
    <col min="4" max="4" width="17.140625" style="86" hidden="1" customWidth="1"/>
    <col min="5" max="5" width="16.140625" style="86" customWidth="1"/>
    <col min="6" max="6" width="15" style="86" hidden="1" customWidth="1"/>
    <col min="7" max="7" width="14.7109375" style="86" hidden="1" customWidth="1"/>
    <col min="8" max="8" width="15.28515625" style="86" customWidth="1"/>
    <col min="9" max="9" width="16" style="87" hidden="1" customWidth="1"/>
    <col min="10" max="10" width="16.140625" style="86" hidden="1" customWidth="1"/>
    <col min="11" max="11" width="16.140625" style="87" customWidth="1"/>
    <col min="12" max="13" width="17.42578125" hidden="1" customWidth="1"/>
    <col min="14" max="14" width="11.28515625" customWidth="1"/>
  </cols>
  <sheetData>
    <row r="1" spans="1:19" ht="18.75" x14ac:dyDescent="0.25">
      <c r="A1" s="49"/>
      <c r="B1" s="50"/>
      <c r="C1" s="459" t="s">
        <v>5</v>
      </c>
      <c r="D1" s="459"/>
      <c r="E1" s="630" t="s">
        <v>967</v>
      </c>
      <c r="F1" s="630"/>
      <c r="G1" s="630"/>
      <c r="H1" s="630"/>
      <c r="I1" s="630"/>
      <c r="J1" s="630"/>
      <c r="K1" s="630"/>
      <c r="L1" s="51"/>
      <c r="M1" s="51"/>
    </row>
    <row r="2" spans="1:19" ht="60.75" customHeight="1" x14ac:dyDescent="0.3">
      <c r="A2" s="49"/>
      <c r="B2" s="52"/>
      <c r="E2" s="631" t="s">
        <v>1194</v>
      </c>
      <c r="F2" s="631"/>
      <c r="G2" s="631"/>
      <c r="H2" s="631"/>
      <c r="I2" s="631"/>
      <c r="J2" s="631"/>
      <c r="K2" s="631"/>
      <c r="L2" s="456"/>
      <c r="M2" s="456"/>
      <c r="N2" s="456"/>
      <c r="O2" s="456"/>
      <c r="P2" s="456"/>
      <c r="Q2" s="456"/>
      <c r="R2" s="456"/>
      <c r="S2" s="456"/>
    </row>
    <row r="3" spans="1:19" ht="18.75" x14ac:dyDescent="0.25">
      <c r="A3" s="49"/>
      <c r="B3" s="49"/>
      <c r="C3" s="434"/>
      <c r="D3" s="434"/>
      <c r="E3" s="638" t="s">
        <v>1304</v>
      </c>
      <c r="F3" s="638"/>
      <c r="G3" s="638"/>
      <c r="H3" s="638"/>
      <c r="I3" s="638"/>
      <c r="J3" s="638"/>
      <c r="K3" s="638"/>
    </row>
    <row r="4" spans="1:19" ht="51" customHeight="1" x14ac:dyDescent="0.25">
      <c r="A4" s="632" t="s">
        <v>982</v>
      </c>
      <c r="B4" s="632"/>
      <c r="C4" s="632"/>
      <c r="D4" s="632"/>
      <c r="E4" s="632"/>
      <c r="F4" s="632"/>
      <c r="G4" s="632"/>
      <c r="H4" s="632"/>
      <c r="I4" s="632"/>
      <c r="J4" s="632"/>
      <c r="K4" s="632"/>
      <c r="L4" s="455"/>
      <c r="M4" s="455"/>
    </row>
    <row r="5" spans="1:19" ht="15.6" x14ac:dyDescent="0.3">
      <c r="F5" s="88"/>
      <c r="H5" s="88"/>
      <c r="J5" s="88"/>
    </row>
    <row r="6" spans="1:19" ht="18.75" x14ac:dyDescent="0.25">
      <c r="A6" s="633" t="s">
        <v>504</v>
      </c>
      <c r="B6" s="633" t="s">
        <v>505</v>
      </c>
      <c r="C6" s="458" t="s">
        <v>0</v>
      </c>
      <c r="D6" s="635" t="s">
        <v>1038</v>
      </c>
      <c r="E6" s="458" t="s">
        <v>0</v>
      </c>
      <c r="F6" s="458" t="s">
        <v>2</v>
      </c>
      <c r="G6" s="635" t="s">
        <v>1038</v>
      </c>
      <c r="H6" s="458" t="s">
        <v>2</v>
      </c>
      <c r="I6" s="89" t="s">
        <v>743</v>
      </c>
      <c r="J6" s="635" t="s">
        <v>1038</v>
      </c>
      <c r="K6" s="89" t="s">
        <v>743</v>
      </c>
      <c r="L6" s="54"/>
      <c r="M6" s="54"/>
    </row>
    <row r="7" spans="1:19" ht="18.75" x14ac:dyDescent="0.25">
      <c r="A7" s="633"/>
      <c r="B7" s="633"/>
      <c r="C7" s="634" t="s">
        <v>506</v>
      </c>
      <c r="D7" s="636"/>
      <c r="E7" s="634" t="s">
        <v>506</v>
      </c>
      <c r="F7" s="634" t="s">
        <v>506</v>
      </c>
      <c r="G7" s="636"/>
      <c r="H7" s="634" t="s">
        <v>506</v>
      </c>
      <c r="I7" s="634" t="s">
        <v>506</v>
      </c>
      <c r="J7" s="636"/>
      <c r="K7" s="634" t="s">
        <v>506</v>
      </c>
      <c r="L7" s="55"/>
      <c r="M7" s="55"/>
    </row>
    <row r="8" spans="1:19" ht="18.75" x14ac:dyDescent="0.25">
      <c r="A8" s="633"/>
      <c r="B8" s="633"/>
      <c r="C8" s="634"/>
      <c r="D8" s="637"/>
      <c r="E8" s="634"/>
      <c r="F8" s="634"/>
      <c r="G8" s="637"/>
      <c r="H8" s="634"/>
      <c r="I8" s="634"/>
      <c r="J8" s="637"/>
      <c r="K8" s="634"/>
      <c r="L8" s="55"/>
      <c r="M8" s="55"/>
    </row>
    <row r="9" spans="1:19" ht="14.45" x14ac:dyDescent="0.3">
      <c r="A9" s="90" t="s">
        <v>507</v>
      </c>
      <c r="B9" s="90" t="s">
        <v>508</v>
      </c>
      <c r="C9" s="91">
        <v>3</v>
      </c>
      <c r="D9" s="91"/>
      <c r="E9" s="91">
        <v>3</v>
      </c>
      <c r="F9" s="91">
        <v>4</v>
      </c>
      <c r="G9" s="91"/>
      <c r="H9" s="91">
        <v>4</v>
      </c>
      <c r="I9" s="91">
        <v>5</v>
      </c>
      <c r="J9" s="91"/>
      <c r="K9" s="91">
        <v>5</v>
      </c>
      <c r="L9" s="56"/>
      <c r="M9" s="56"/>
    </row>
    <row r="10" spans="1:19" ht="18.75" x14ac:dyDescent="0.3">
      <c r="A10" s="92" t="s">
        <v>509</v>
      </c>
      <c r="B10" s="93" t="s">
        <v>510</v>
      </c>
      <c r="C10" s="94">
        <f>C11+C47</f>
        <v>108022.09999999999</v>
      </c>
      <c r="D10" s="94">
        <f>D11+D47</f>
        <v>5998.7</v>
      </c>
      <c r="E10" s="94">
        <f>E11+E47</f>
        <v>114020.8</v>
      </c>
      <c r="F10" s="94">
        <f>F11+F47</f>
        <v>102463.20000000001</v>
      </c>
      <c r="G10" s="94"/>
      <c r="H10" s="94">
        <f>H11+H47</f>
        <v>102463.20000000001</v>
      </c>
      <c r="I10" s="94">
        <f>I11+I47</f>
        <v>104068.1</v>
      </c>
      <c r="J10" s="94"/>
      <c r="K10" s="94">
        <f>K11+K47</f>
        <v>104068.1</v>
      </c>
      <c r="L10" s="57"/>
      <c r="M10" s="57"/>
    </row>
    <row r="11" spans="1:19" ht="18.75" x14ac:dyDescent="0.3">
      <c r="A11" s="95"/>
      <c r="B11" s="77" t="s">
        <v>511</v>
      </c>
      <c r="C11" s="96">
        <f>C12+C18+C24+C31+C40</f>
        <v>81822.899999999994</v>
      </c>
      <c r="D11" s="96">
        <f>D12+D18+D24+D31+D40</f>
        <v>4476.2</v>
      </c>
      <c r="E11" s="96">
        <f>E12+E18+E24+E31+E40</f>
        <v>86299.1</v>
      </c>
      <c r="F11" s="96">
        <f>F12+F18+F24+F31+F40</f>
        <v>82475.3</v>
      </c>
      <c r="G11" s="96"/>
      <c r="H11" s="96">
        <f>H12+H18+H24+H31+H40</f>
        <v>82475.3</v>
      </c>
      <c r="I11" s="96">
        <f>I12+I18+I24+I31+I40</f>
        <v>83564.100000000006</v>
      </c>
      <c r="J11" s="96"/>
      <c r="K11" s="96">
        <f>K12+K18+K24+K31+K40</f>
        <v>83564.100000000006</v>
      </c>
      <c r="L11" s="58"/>
      <c r="M11" s="58"/>
    </row>
    <row r="12" spans="1:19" ht="18.75" x14ac:dyDescent="0.3">
      <c r="A12" s="97" t="s">
        <v>512</v>
      </c>
      <c r="B12" s="78" t="s">
        <v>513</v>
      </c>
      <c r="C12" s="98">
        <f>C13</f>
        <v>35965</v>
      </c>
      <c r="D12" s="98">
        <f>D13</f>
        <v>1738</v>
      </c>
      <c r="E12" s="98">
        <f>E13</f>
        <v>37703</v>
      </c>
      <c r="F12" s="98">
        <f>F13</f>
        <v>36828</v>
      </c>
      <c r="G12" s="98"/>
      <c r="H12" s="98">
        <f>H13</f>
        <v>36828</v>
      </c>
      <c r="I12" s="98">
        <f>I13</f>
        <v>37712</v>
      </c>
      <c r="J12" s="98"/>
      <c r="K12" s="98">
        <f>K13</f>
        <v>37712</v>
      </c>
      <c r="L12" s="59"/>
      <c r="M12" s="59"/>
    </row>
    <row r="13" spans="1:19" ht="18.75" x14ac:dyDescent="0.3">
      <c r="A13" s="99" t="s">
        <v>514</v>
      </c>
      <c r="B13" s="100" t="s">
        <v>515</v>
      </c>
      <c r="C13" s="101">
        <f>C14+C15+C16+C17</f>
        <v>35965</v>
      </c>
      <c r="D13" s="101">
        <f>D14+D15+D16+D17</f>
        <v>1738</v>
      </c>
      <c r="E13" s="101">
        <f t="shared" ref="E13:E17" si="0">SUM(C13:D13)</f>
        <v>37703</v>
      </c>
      <c r="F13" s="101">
        <f>F14+F15+F16+F17</f>
        <v>36828</v>
      </c>
      <c r="G13" s="101"/>
      <c r="H13" s="101">
        <f>H14+H15+H16+H17</f>
        <v>36828</v>
      </c>
      <c r="I13" s="101">
        <f>I14+I15+I16+I17</f>
        <v>37712</v>
      </c>
      <c r="J13" s="101"/>
      <c r="K13" s="101">
        <f>K14+K15+K16+K17</f>
        <v>37712</v>
      </c>
      <c r="L13" s="60"/>
      <c r="M13" s="60"/>
    </row>
    <row r="14" spans="1:19" ht="75" x14ac:dyDescent="0.3">
      <c r="A14" s="99" t="s">
        <v>516</v>
      </c>
      <c r="B14" s="100" t="s">
        <v>517</v>
      </c>
      <c r="C14" s="101">
        <v>35727</v>
      </c>
      <c r="D14" s="101">
        <v>1580</v>
      </c>
      <c r="E14" s="101">
        <f t="shared" si="0"/>
        <v>37307</v>
      </c>
      <c r="F14" s="101">
        <v>36584</v>
      </c>
      <c r="G14" s="101"/>
      <c r="H14" s="101">
        <v>36584</v>
      </c>
      <c r="I14" s="101">
        <v>37462</v>
      </c>
      <c r="J14" s="101"/>
      <c r="K14" s="101">
        <v>37462</v>
      </c>
      <c r="L14" s="60"/>
      <c r="M14" s="60"/>
    </row>
    <row r="15" spans="1:19" ht="112.5" x14ac:dyDescent="0.3">
      <c r="A15" s="99" t="s">
        <v>518</v>
      </c>
      <c r="B15" s="100" t="s">
        <v>519</v>
      </c>
      <c r="C15" s="101">
        <v>34</v>
      </c>
      <c r="D15" s="101"/>
      <c r="E15" s="101">
        <f t="shared" si="0"/>
        <v>34</v>
      </c>
      <c r="F15" s="101">
        <v>35</v>
      </c>
      <c r="G15" s="101"/>
      <c r="H15" s="101">
        <v>35</v>
      </c>
      <c r="I15" s="101">
        <v>36</v>
      </c>
      <c r="J15" s="101"/>
      <c r="K15" s="101">
        <v>36</v>
      </c>
      <c r="L15" s="60"/>
      <c r="M15" s="60"/>
    </row>
    <row r="16" spans="1:19" ht="56.25" x14ac:dyDescent="0.3">
      <c r="A16" s="99" t="s">
        <v>520</v>
      </c>
      <c r="B16" s="100" t="s">
        <v>521</v>
      </c>
      <c r="C16" s="101">
        <v>201</v>
      </c>
      <c r="D16" s="101">
        <v>150.30000000000001</v>
      </c>
      <c r="E16" s="101">
        <f t="shared" si="0"/>
        <v>351.3</v>
      </c>
      <c r="F16" s="101">
        <v>206</v>
      </c>
      <c r="G16" s="101"/>
      <c r="H16" s="101">
        <v>206</v>
      </c>
      <c r="I16" s="101">
        <v>211</v>
      </c>
      <c r="J16" s="101"/>
      <c r="K16" s="101">
        <v>211</v>
      </c>
      <c r="L16" s="60"/>
      <c r="M16" s="60"/>
    </row>
    <row r="17" spans="1:13" ht="93.75" x14ac:dyDescent="0.3">
      <c r="A17" s="99" t="s">
        <v>522</v>
      </c>
      <c r="B17" s="100" t="s">
        <v>523</v>
      </c>
      <c r="C17" s="101">
        <v>3</v>
      </c>
      <c r="D17" s="101">
        <v>7.7</v>
      </c>
      <c r="E17" s="101">
        <f t="shared" si="0"/>
        <v>10.7</v>
      </c>
      <c r="F17" s="101">
        <v>3</v>
      </c>
      <c r="G17" s="101"/>
      <c r="H17" s="101">
        <v>3</v>
      </c>
      <c r="I17" s="101">
        <v>3</v>
      </c>
      <c r="J17" s="101"/>
      <c r="K17" s="101">
        <v>3</v>
      </c>
      <c r="L17" s="60"/>
      <c r="M17" s="60"/>
    </row>
    <row r="18" spans="1:13" ht="37.5" x14ac:dyDescent="0.3">
      <c r="A18" s="97" t="s">
        <v>524</v>
      </c>
      <c r="B18" s="78" t="s">
        <v>525</v>
      </c>
      <c r="C18" s="98">
        <f>C19</f>
        <v>23183.899999999998</v>
      </c>
      <c r="D18" s="98">
        <f>D19</f>
        <v>1122.8999999999999</v>
      </c>
      <c r="E18" s="98">
        <f>E19</f>
        <v>24306.799999999999</v>
      </c>
      <c r="F18" s="98">
        <f>F19</f>
        <v>21728</v>
      </c>
      <c r="G18" s="98"/>
      <c r="H18" s="98">
        <f>H19</f>
        <v>21728</v>
      </c>
      <c r="I18" s="98">
        <f>I19</f>
        <v>21542.6</v>
      </c>
      <c r="J18" s="98"/>
      <c r="K18" s="98">
        <f>K19</f>
        <v>21542.6</v>
      </c>
      <c r="L18" s="59"/>
      <c r="M18" s="59"/>
    </row>
    <row r="19" spans="1:13" ht="37.5" x14ac:dyDescent="0.3">
      <c r="A19" s="99" t="s">
        <v>526</v>
      </c>
      <c r="B19" s="100" t="s">
        <v>527</v>
      </c>
      <c r="C19" s="101">
        <f>C20+C21+C22+C23</f>
        <v>23183.899999999998</v>
      </c>
      <c r="D19" s="101">
        <f>D20+D21+D22+D23</f>
        <v>1122.8999999999999</v>
      </c>
      <c r="E19" s="101">
        <f t="shared" ref="E19:E23" si="1">SUM(C19:D19)</f>
        <v>24306.799999999999</v>
      </c>
      <c r="F19" s="101">
        <f>F20+F21+F22+F23</f>
        <v>21728</v>
      </c>
      <c r="G19" s="101"/>
      <c r="H19" s="101">
        <f>H20+H21+H22+H23</f>
        <v>21728</v>
      </c>
      <c r="I19" s="101">
        <f>I20+I21+I22+I23</f>
        <v>21542.6</v>
      </c>
      <c r="J19" s="101"/>
      <c r="K19" s="101">
        <f>K20+K21+K22+K23</f>
        <v>21542.6</v>
      </c>
      <c r="L19" s="60"/>
      <c r="M19" s="60"/>
    </row>
    <row r="20" spans="1:13" ht="112.5" x14ac:dyDescent="0.3">
      <c r="A20" s="99" t="s">
        <v>528</v>
      </c>
      <c r="B20" s="100" t="s">
        <v>529</v>
      </c>
      <c r="C20" s="101">
        <v>11333</v>
      </c>
      <c r="D20" s="101">
        <v>812</v>
      </c>
      <c r="E20" s="101">
        <f t="shared" si="1"/>
        <v>12145</v>
      </c>
      <c r="F20" s="101">
        <v>9721</v>
      </c>
      <c r="G20" s="101"/>
      <c r="H20" s="101">
        <v>9721</v>
      </c>
      <c r="I20" s="101">
        <v>9484.9</v>
      </c>
      <c r="J20" s="101"/>
      <c r="K20" s="101">
        <v>9484.9</v>
      </c>
      <c r="L20" s="60"/>
      <c r="M20" s="60"/>
    </row>
    <row r="21" spans="1:13" ht="131.25" x14ac:dyDescent="0.3">
      <c r="A21" s="99" t="s">
        <v>530</v>
      </c>
      <c r="B21" s="100" t="s">
        <v>531</v>
      </c>
      <c r="C21" s="101">
        <v>66.7</v>
      </c>
      <c r="D21" s="101">
        <v>0.5</v>
      </c>
      <c r="E21" s="101">
        <f t="shared" si="1"/>
        <v>67.2</v>
      </c>
      <c r="F21" s="101">
        <v>54.5</v>
      </c>
      <c r="G21" s="101"/>
      <c r="H21" s="101">
        <v>54.5</v>
      </c>
      <c r="I21" s="101">
        <v>54.8</v>
      </c>
      <c r="J21" s="101"/>
      <c r="K21" s="101">
        <v>54.8</v>
      </c>
      <c r="L21" s="60"/>
      <c r="M21" s="60"/>
    </row>
    <row r="22" spans="1:13" ht="112.5" x14ac:dyDescent="0.3">
      <c r="A22" s="99" t="s">
        <v>532</v>
      </c>
      <c r="B22" s="100" t="s">
        <v>533</v>
      </c>
      <c r="C22" s="101">
        <v>13096.4</v>
      </c>
      <c r="D22" s="101">
        <v>422.6</v>
      </c>
      <c r="E22" s="101">
        <f t="shared" si="1"/>
        <v>13519</v>
      </c>
      <c r="F22" s="101">
        <v>13157.1</v>
      </c>
      <c r="G22" s="101"/>
      <c r="H22" s="101">
        <v>13157.1</v>
      </c>
      <c r="I22" s="101">
        <v>13220.1</v>
      </c>
      <c r="J22" s="101"/>
      <c r="K22" s="101">
        <v>13220.1</v>
      </c>
      <c r="L22" s="60"/>
      <c r="M22" s="60"/>
    </row>
    <row r="23" spans="1:13" ht="112.5" x14ac:dyDescent="0.3">
      <c r="A23" s="99" t="s">
        <v>534</v>
      </c>
      <c r="B23" s="100" t="s">
        <v>535</v>
      </c>
      <c r="C23" s="101">
        <v>-1312.2</v>
      </c>
      <c r="D23" s="101">
        <v>-112.2</v>
      </c>
      <c r="E23" s="101">
        <f t="shared" si="1"/>
        <v>-1424.4</v>
      </c>
      <c r="F23" s="101">
        <v>-1204.5999999999999</v>
      </c>
      <c r="G23" s="101"/>
      <c r="H23" s="101">
        <v>-1204.5999999999999</v>
      </c>
      <c r="I23" s="101">
        <v>-1217.2</v>
      </c>
      <c r="J23" s="101"/>
      <c r="K23" s="101">
        <v>-1217.2</v>
      </c>
      <c r="L23" s="60"/>
      <c r="M23" s="60"/>
    </row>
    <row r="24" spans="1:13" ht="18.75" x14ac:dyDescent="0.3">
      <c r="A24" s="97" t="s">
        <v>536</v>
      </c>
      <c r="B24" s="78" t="s">
        <v>537</v>
      </c>
      <c r="C24" s="98">
        <f>C27+C29+C25</f>
        <v>2453.8000000000002</v>
      </c>
      <c r="D24" s="98">
        <f>D25+D27+D29</f>
        <v>90.6</v>
      </c>
      <c r="E24" s="98">
        <f>E27+E29+E25</f>
        <v>2544.4</v>
      </c>
      <c r="F24" s="98">
        <f>F27+F29</f>
        <v>2498</v>
      </c>
      <c r="G24" s="98"/>
      <c r="H24" s="98">
        <f>H27+H29</f>
        <v>2498</v>
      </c>
      <c r="I24" s="98">
        <f>I27+I29</f>
        <v>2498</v>
      </c>
      <c r="J24" s="98"/>
      <c r="K24" s="98">
        <f>K27+K29</f>
        <v>2498</v>
      </c>
      <c r="L24" s="59"/>
      <c r="M24" s="59"/>
    </row>
    <row r="25" spans="1:13" s="428" customFormat="1" ht="18.75" x14ac:dyDescent="0.3">
      <c r="A25" s="452" t="s">
        <v>1127</v>
      </c>
      <c r="B25" s="100" t="s">
        <v>1128</v>
      </c>
      <c r="C25" s="103">
        <f>C26</f>
        <v>21.8</v>
      </c>
      <c r="D25" s="103">
        <f>D26</f>
        <v>2.8</v>
      </c>
      <c r="E25" s="101">
        <f t="shared" ref="E25:E30" si="2">SUM(C25:D25)</f>
        <v>24.6</v>
      </c>
      <c r="F25" s="98"/>
      <c r="G25" s="98"/>
      <c r="H25" s="98"/>
      <c r="I25" s="98"/>
      <c r="J25" s="98"/>
      <c r="K25" s="98"/>
      <c r="L25" s="59"/>
      <c r="M25" s="59"/>
    </row>
    <row r="26" spans="1:13" ht="18.75" x14ac:dyDescent="0.3">
      <c r="A26" s="452" t="s">
        <v>1129</v>
      </c>
      <c r="B26" s="100" t="s">
        <v>1128</v>
      </c>
      <c r="C26" s="103">
        <v>21.8</v>
      </c>
      <c r="D26" s="103">
        <v>2.8</v>
      </c>
      <c r="E26" s="101">
        <f t="shared" si="2"/>
        <v>24.6</v>
      </c>
      <c r="F26" s="98"/>
      <c r="G26" s="98"/>
      <c r="H26" s="98"/>
      <c r="I26" s="98"/>
      <c r="J26" s="98"/>
      <c r="K26" s="98"/>
      <c r="L26" s="59"/>
      <c r="M26" s="59"/>
    </row>
    <row r="27" spans="1:13" ht="18.75" x14ac:dyDescent="0.3">
      <c r="A27" s="99" t="s">
        <v>538</v>
      </c>
      <c r="B27" s="100" t="s">
        <v>539</v>
      </c>
      <c r="C27" s="101">
        <f>C28</f>
        <v>2082</v>
      </c>
      <c r="D27" s="101">
        <f>D28</f>
        <v>12.3</v>
      </c>
      <c r="E27" s="101">
        <f t="shared" si="2"/>
        <v>2094.3000000000002</v>
      </c>
      <c r="F27" s="101">
        <f>F28</f>
        <v>2138</v>
      </c>
      <c r="G27" s="101"/>
      <c r="H27" s="101">
        <f>H28</f>
        <v>2138</v>
      </c>
      <c r="I27" s="101">
        <f>I28</f>
        <v>2138</v>
      </c>
      <c r="J27" s="101"/>
      <c r="K27" s="101">
        <f>K28</f>
        <v>2138</v>
      </c>
      <c r="L27" s="60"/>
      <c r="M27" s="60"/>
    </row>
    <row r="28" spans="1:13" ht="18.75" x14ac:dyDescent="0.3">
      <c r="A28" s="99" t="s">
        <v>540</v>
      </c>
      <c r="B28" s="100" t="s">
        <v>539</v>
      </c>
      <c r="C28" s="101">
        <v>2082</v>
      </c>
      <c r="D28" s="101">
        <v>12.3</v>
      </c>
      <c r="E28" s="101">
        <f t="shared" si="2"/>
        <v>2094.3000000000002</v>
      </c>
      <c r="F28" s="101">
        <v>2138</v>
      </c>
      <c r="G28" s="101"/>
      <c r="H28" s="101">
        <v>2138</v>
      </c>
      <c r="I28" s="101">
        <v>2138</v>
      </c>
      <c r="J28" s="101"/>
      <c r="K28" s="101">
        <v>2138</v>
      </c>
      <c r="L28" s="60"/>
      <c r="M28" s="60"/>
    </row>
    <row r="29" spans="1:13" ht="37.5" x14ac:dyDescent="0.3">
      <c r="A29" s="99" t="s">
        <v>541</v>
      </c>
      <c r="B29" s="100" t="s">
        <v>542</v>
      </c>
      <c r="C29" s="101">
        <f>C30</f>
        <v>350</v>
      </c>
      <c r="D29" s="101">
        <f>D30</f>
        <v>75.5</v>
      </c>
      <c r="E29" s="101">
        <f t="shared" si="2"/>
        <v>425.5</v>
      </c>
      <c r="F29" s="101">
        <f>F30</f>
        <v>360</v>
      </c>
      <c r="G29" s="101"/>
      <c r="H29" s="101">
        <f>H30</f>
        <v>360</v>
      </c>
      <c r="I29" s="101">
        <f>I30</f>
        <v>360</v>
      </c>
      <c r="J29" s="101"/>
      <c r="K29" s="101">
        <f>K30</f>
        <v>360</v>
      </c>
      <c r="L29" s="60"/>
      <c r="M29" s="60"/>
    </row>
    <row r="30" spans="1:13" ht="37.5" x14ac:dyDescent="0.3">
      <c r="A30" s="99" t="s">
        <v>543</v>
      </c>
      <c r="B30" s="100" t="s">
        <v>544</v>
      </c>
      <c r="C30" s="101">
        <v>350</v>
      </c>
      <c r="D30" s="101">
        <v>75.5</v>
      </c>
      <c r="E30" s="101">
        <f t="shared" si="2"/>
        <v>425.5</v>
      </c>
      <c r="F30" s="101">
        <v>360</v>
      </c>
      <c r="G30" s="101"/>
      <c r="H30" s="101">
        <v>360</v>
      </c>
      <c r="I30" s="101">
        <v>360</v>
      </c>
      <c r="J30" s="101"/>
      <c r="K30" s="101">
        <v>360</v>
      </c>
      <c r="L30" s="60"/>
      <c r="M30" s="60"/>
    </row>
    <row r="31" spans="1:13" ht="18.75" x14ac:dyDescent="0.3">
      <c r="A31" s="97" t="s">
        <v>545</v>
      </c>
      <c r="B31" s="78" t="s">
        <v>546</v>
      </c>
      <c r="C31" s="98">
        <f>C34+C33+C37</f>
        <v>19016</v>
      </c>
      <c r="D31" s="98">
        <f>D34+D33+D37</f>
        <v>1177</v>
      </c>
      <c r="E31" s="98">
        <f>E34+E33+E37</f>
        <v>20193</v>
      </c>
      <c r="F31" s="98">
        <f>F34+F33+F37</f>
        <v>20238</v>
      </c>
      <c r="G31" s="98"/>
      <c r="H31" s="98">
        <f>H34+H33+H37</f>
        <v>20238</v>
      </c>
      <c r="I31" s="98">
        <f>I34+I33+I37</f>
        <v>20616</v>
      </c>
      <c r="J31" s="98"/>
      <c r="K31" s="98">
        <f>K34+K33+K37</f>
        <v>20616</v>
      </c>
      <c r="L31" s="59"/>
      <c r="M31" s="59"/>
    </row>
    <row r="32" spans="1:13" ht="18.75" x14ac:dyDescent="0.3">
      <c r="A32" s="102" t="s">
        <v>744</v>
      </c>
      <c r="B32" s="80" t="s">
        <v>745</v>
      </c>
      <c r="C32" s="103">
        <f>C33</f>
        <v>1652</v>
      </c>
      <c r="D32" s="103">
        <f>D33</f>
        <v>-193</v>
      </c>
      <c r="E32" s="101">
        <f t="shared" ref="E32:E39" si="3">SUM(C32:D32)</f>
        <v>1459</v>
      </c>
      <c r="F32" s="103">
        <f>F33</f>
        <v>1675</v>
      </c>
      <c r="G32" s="103"/>
      <c r="H32" s="103">
        <f>H33</f>
        <v>1675</v>
      </c>
      <c r="I32" s="103">
        <f>I33</f>
        <v>1800</v>
      </c>
      <c r="J32" s="103"/>
      <c r="K32" s="103">
        <f>K33</f>
        <v>1800</v>
      </c>
      <c r="L32" s="61"/>
      <c r="M32" s="61"/>
    </row>
    <row r="33" spans="1:13" ht="56.25" x14ac:dyDescent="0.3">
      <c r="A33" s="102" t="s">
        <v>547</v>
      </c>
      <c r="B33" s="80" t="s">
        <v>548</v>
      </c>
      <c r="C33" s="103">
        <v>1652</v>
      </c>
      <c r="D33" s="103">
        <v>-193</v>
      </c>
      <c r="E33" s="101">
        <f t="shared" si="3"/>
        <v>1459</v>
      </c>
      <c r="F33" s="103">
        <v>1675</v>
      </c>
      <c r="G33" s="103"/>
      <c r="H33" s="103">
        <v>1675</v>
      </c>
      <c r="I33" s="103">
        <v>1800</v>
      </c>
      <c r="J33" s="103"/>
      <c r="K33" s="103">
        <v>1800</v>
      </c>
      <c r="L33" s="61"/>
      <c r="M33" s="61"/>
    </row>
    <row r="34" spans="1:13" ht="18.75" x14ac:dyDescent="0.3">
      <c r="A34" s="99" t="s">
        <v>549</v>
      </c>
      <c r="B34" s="100" t="s">
        <v>550</v>
      </c>
      <c r="C34" s="101">
        <f>C35+C36</f>
        <v>12963</v>
      </c>
      <c r="D34" s="101">
        <f>D35+D36</f>
        <v>426</v>
      </c>
      <c r="E34" s="101">
        <f t="shared" si="3"/>
        <v>13389</v>
      </c>
      <c r="F34" s="101">
        <f>F35+F36</f>
        <v>13428</v>
      </c>
      <c r="G34" s="101"/>
      <c r="H34" s="101">
        <f>H35+H36</f>
        <v>13428</v>
      </c>
      <c r="I34" s="101">
        <f>I35+I36</f>
        <v>13864</v>
      </c>
      <c r="J34" s="101"/>
      <c r="K34" s="101">
        <f>K35+K36</f>
        <v>13864</v>
      </c>
      <c r="L34" s="60"/>
      <c r="M34" s="60"/>
    </row>
    <row r="35" spans="1:13" ht="18.75" x14ac:dyDescent="0.3">
      <c r="A35" s="99" t="s">
        <v>551</v>
      </c>
      <c r="B35" s="100" t="s">
        <v>552</v>
      </c>
      <c r="C35" s="101">
        <v>1337</v>
      </c>
      <c r="D35" s="101">
        <v>-237</v>
      </c>
      <c r="E35" s="101">
        <f t="shared" si="3"/>
        <v>1100</v>
      </c>
      <c r="F35" s="101">
        <v>1337</v>
      </c>
      <c r="G35" s="101"/>
      <c r="H35" s="101">
        <v>1337</v>
      </c>
      <c r="I35" s="101">
        <v>1337</v>
      </c>
      <c r="J35" s="101"/>
      <c r="K35" s="101">
        <v>1337</v>
      </c>
      <c r="L35" s="60"/>
      <c r="M35" s="60"/>
    </row>
    <row r="36" spans="1:13" ht="18.75" x14ac:dyDescent="0.3">
      <c r="A36" s="99" t="s">
        <v>553</v>
      </c>
      <c r="B36" s="100" t="s">
        <v>554</v>
      </c>
      <c r="C36" s="101">
        <v>11626</v>
      </c>
      <c r="D36" s="101">
        <v>663</v>
      </c>
      <c r="E36" s="101">
        <f t="shared" si="3"/>
        <v>12289</v>
      </c>
      <c r="F36" s="101">
        <v>12091</v>
      </c>
      <c r="G36" s="101"/>
      <c r="H36" s="101">
        <v>12091</v>
      </c>
      <c r="I36" s="101">
        <v>12527</v>
      </c>
      <c r="J36" s="101"/>
      <c r="K36" s="101">
        <v>12527</v>
      </c>
      <c r="L36" s="60"/>
      <c r="M36" s="60"/>
    </row>
    <row r="37" spans="1:13" ht="18.75" x14ac:dyDescent="0.3">
      <c r="A37" s="99" t="s">
        <v>555</v>
      </c>
      <c r="B37" s="100" t="s">
        <v>556</v>
      </c>
      <c r="C37" s="101">
        <f>SUM(C38:C39)</f>
        <v>4401</v>
      </c>
      <c r="D37" s="101">
        <f>SUM(D38:D39)</f>
        <v>944</v>
      </c>
      <c r="E37" s="101">
        <f t="shared" si="3"/>
        <v>5345</v>
      </c>
      <c r="F37" s="101">
        <f>SUM(F38:F39)</f>
        <v>5135</v>
      </c>
      <c r="G37" s="101"/>
      <c r="H37" s="101">
        <f>SUM(H38:H39)</f>
        <v>5135</v>
      </c>
      <c r="I37" s="101">
        <f>SUM(I38:I39)</f>
        <v>4952</v>
      </c>
      <c r="J37" s="101"/>
      <c r="K37" s="101">
        <f>SUM(K38:K39)</f>
        <v>4952</v>
      </c>
      <c r="L37" s="60"/>
      <c r="M37" s="60"/>
    </row>
    <row r="38" spans="1:13" ht="37.5" x14ac:dyDescent="0.3">
      <c r="A38" s="99" t="s">
        <v>557</v>
      </c>
      <c r="B38" s="100" t="s">
        <v>746</v>
      </c>
      <c r="C38" s="101">
        <v>2239</v>
      </c>
      <c r="D38" s="101">
        <v>944</v>
      </c>
      <c r="E38" s="101">
        <f t="shared" si="3"/>
        <v>3183</v>
      </c>
      <c r="F38" s="101">
        <v>2965</v>
      </c>
      <c r="G38" s="101"/>
      <c r="H38" s="101">
        <v>2965</v>
      </c>
      <c r="I38" s="101">
        <v>2786</v>
      </c>
      <c r="J38" s="101"/>
      <c r="K38" s="101">
        <v>2786</v>
      </c>
      <c r="L38" s="60"/>
      <c r="M38" s="60"/>
    </row>
    <row r="39" spans="1:13" ht="37.5" x14ac:dyDescent="0.3">
      <c r="A39" s="99" t="s">
        <v>558</v>
      </c>
      <c r="B39" s="100" t="s">
        <v>747</v>
      </c>
      <c r="C39" s="101">
        <v>2162</v>
      </c>
      <c r="D39" s="101">
        <v>0</v>
      </c>
      <c r="E39" s="101">
        <f t="shared" si="3"/>
        <v>2162</v>
      </c>
      <c r="F39" s="101">
        <v>2170</v>
      </c>
      <c r="G39" s="101"/>
      <c r="H39" s="101">
        <v>2170</v>
      </c>
      <c r="I39" s="101">
        <v>2166</v>
      </c>
      <c r="J39" s="101"/>
      <c r="K39" s="101">
        <v>2166</v>
      </c>
      <c r="L39" s="60"/>
      <c r="M39" s="60"/>
    </row>
    <row r="40" spans="1:13" ht="18.75" x14ac:dyDescent="0.3">
      <c r="A40" s="97" t="s">
        <v>559</v>
      </c>
      <c r="B40" s="78" t="s">
        <v>560</v>
      </c>
      <c r="C40" s="98">
        <f>C41+C45+C43</f>
        <v>1204.2</v>
      </c>
      <c r="D40" s="98">
        <f>D41+D45+D43</f>
        <v>347.70000000000005</v>
      </c>
      <c r="E40" s="98">
        <f>E41+E45+E43</f>
        <v>1551.9</v>
      </c>
      <c r="F40" s="98">
        <f>F41+F45+F43</f>
        <v>1183.3000000000002</v>
      </c>
      <c r="G40" s="98"/>
      <c r="H40" s="98">
        <f>H41+H45+H43</f>
        <v>1183.3000000000002</v>
      </c>
      <c r="I40" s="98">
        <f>I41+I45+I43</f>
        <v>1195.5</v>
      </c>
      <c r="J40" s="98"/>
      <c r="K40" s="98">
        <f>K41+K45+K43</f>
        <v>1195.5</v>
      </c>
      <c r="L40" s="59"/>
      <c r="M40" s="59"/>
    </row>
    <row r="41" spans="1:13" ht="37.5" x14ac:dyDescent="0.3">
      <c r="A41" s="99" t="s">
        <v>561</v>
      </c>
      <c r="B41" s="100" t="s">
        <v>562</v>
      </c>
      <c r="C41" s="101">
        <f>C42</f>
        <v>1113</v>
      </c>
      <c r="D41" s="101">
        <f>D42</f>
        <v>353</v>
      </c>
      <c r="E41" s="101">
        <f t="shared" ref="E41:E46" si="4">SUM(C41:D41)</f>
        <v>1466</v>
      </c>
      <c r="F41" s="101">
        <f>F42</f>
        <v>1090</v>
      </c>
      <c r="G41" s="101"/>
      <c r="H41" s="101">
        <f>H42</f>
        <v>1090</v>
      </c>
      <c r="I41" s="101">
        <f>I42</f>
        <v>1100</v>
      </c>
      <c r="J41" s="101"/>
      <c r="K41" s="101">
        <f>K42</f>
        <v>1100</v>
      </c>
      <c r="L41" s="60"/>
      <c r="M41" s="60"/>
    </row>
    <row r="42" spans="1:13" ht="56.25" x14ac:dyDescent="0.3">
      <c r="A42" s="99" t="s">
        <v>563</v>
      </c>
      <c r="B42" s="100" t="s">
        <v>564</v>
      </c>
      <c r="C42" s="101">
        <v>1113</v>
      </c>
      <c r="D42" s="101">
        <v>353</v>
      </c>
      <c r="E42" s="101">
        <f t="shared" si="4"/>
        <v>1466</v>
      </c>
      <c r="F42" s="101">
        <v>1090</v>
      </c>
      <c r="G42" s="101"/>
      <c r="H42" s="101">
        <v>1090</v>
      </c>
      <c r="I42" s="101">
        <v>1100</v>
      </c>
      <c r="J42" s="101"/>
      <c r="K42" s="101">
        <v>1100</v>
      </c>
      <c r="L42" s="60"/>
      <c r="M42" s="60"/>
    </row>
    <row r="43" spans="1:13" ht="56.25" x14ac:dyDescent="0.3">
      <c r="A43" s="99" t="s">
        <v>565</v>
      </c>
      <c r="B43" s="100" t="s">
        <v>748</v>
      </c>
      <c r="C43" s="101">
        <f>C44</f>
        <v>52.8</v>
      </c>
      <c r="D43" s="101">
        <f>D44</f>
        <v>-14.9</v>
      </c>
      <c r="E43" s="101">
        <f t="shared" si="4"/>
        <v>37.9</v>
      </c>
      <c r="F43" s="101">
        <f>F44</f>
        <v>54.9</v>
      </c>
      <c r="G43" s="101"/>
      <c r="H43" s="101">
        <f>H44</f>
        <v>54.9</v>
      </c>
      <c r="I43" s="101">
        <f>I44</f>
        <v>57.1</v>
      </c>
      <c r="J43" s="101"/>
      <c r="K43" s="101">
        <f>K44</f>
        <v>57.1</v>
      </c>
      <c r="L43" s="60"/>
      <c r="M43" s="60"/>
    </row>
    <row r="44" spans="1:13" ht="75" x14ac:dyDescent="0.3">
      <c r="A44" s="99" t="s">
        <v>566</v>
      </c>
      <c r="B44" s="100" t="s">
        <v>749</v>
      </c>
      <c r="C44" s="101">
        <v>52.8</v>
      </c>
      <c r="D44" s="101">
        <v>-14.9</v>
      </c>
      <c r="E44" s="101">
        <f t="shared" si="4"/>
        <v>37.9</v>
      </c>
      <c r="F44" s="101">
        <v>54.9</v>
      </c>
      <c r="G44" s="101"/>
      <c r="H44" s="101">
        <v>54.9</v>
      </c>
      <c r="I44" s="101">
        <v>57.1</v>
      </c>
      <c r="J44" s="101"/>
      <c r="K44" s="101">
        <v>57.1</v>
      </c>
      <c r="L44" s="60"/>
      <c r="M44" s="60"/>
    </row>
    <row r="45" spans="1:13" ht="37.5" x14ac:dyDescent="0.3">
      <c r="A45" s="99" t="s">
        <v>567</v>
      </c>
      <c r="B45" s="100" t="s">
        <v>568</v>
      </c>
      <c r="C45" s="101">
        <f>C46</f>
        <v>38.4</v>
      </c>
      <c r="D45" s="101">
        <f>D46</f>
        <v>9.6</v>
      </c>
      <c r="E45" s="101">
        <f t="shared" si="4"/>
        <v>48</v>
      </c>
      <c r="F45" s="101">
        <f>F46</f>
        <v>38.4</v>
      </c>
      <c r="G45" s="101"/>
      <c r="H45" s="101">
        <f>H46</f>
        <v>38.4</v>
      </c>
      <c r="I45" s="101">
        <f>I46</f>
        <v>38.4</v>
      </c>
      <c r="J45" s="101"/>
      <c r="K45" s="101">
        <f>K46</f>
        <v>38.4</v>
      </c>
      <c r="L45" s="60"/>
      <c r="M45" s="60"/>
    </row>
    <row r="46" spans="1:13" ht="93.75" x14ac:dyDescent="0.3">
      <c r="A46" s="99" t="s">
        <v>569</v>
      </c>
      <c r="B46" s="100" t="s">
        <v>1118</v>
      </c>
      <c r="C46" s="101">
        <v>38.4</v>
      </c>
      <c r="D46" s="101">
        <v>9.6</v>
      </c>
      <c r="E46" s="101">
        <f t="shared" si="4"/>
        <v>48</v>
      </c>
      <c r="F46" s="101">
        <v>38.4</v>
      </c>
      <c r="G46" s="101"/>
      <c r="H46" s="101">
        <v>38.4</v>
      </c>
      <c r="I46" s="101">
        <v>38.4</v>
      </c>
      <c r="J46" s="101"/>
      <c r="K46" s="101">
        <v>38.4</v>
      </c>
      <c r="L46" s="60"/>
      <c r="M46" s="60"/>
    </row>
    <row r="47" spans="1:13" ht="18.75" x14ac:dyDescent="0.3">
      <c r="A47" s="95"/>
      <c r="B47" s="77" t="s">
        <v>570</v>
      </c>
      <c r="C47" s="96">
        <f>C48+C55+C60+C66+C73</f>
        <v>26199.200000000001</v>
      </c>
      <c r="D47" s="96">
        <f>D48+D55+D60+D66+D73</f>
        <v>1522.5000000000002</v>
      </c>
      <c r="E47" s="96">
        <f>E48+E55+E60+E66+E73</f>
        <v>27721.7</v>
      </c>
      <c r="F47" s="96">
        <f>F48+F55+F60+F66+F73</f>
        <v>19987.900000000001</v>
      </c>
      <c r="G47" s="96"/>
      <c r="H47" s="96">
        <f>H48+H55+H60+H66+H73</f>
        <v>19987.900000000001</v>
      </c>
      <c r="I47" s="96">
        <f>I48+I55+I60+I66+I73</f>
        <v>20504</v>
      </c>
      <c r="J47" s="96"/>
      <c r="K47" s="96">
        <f>K48+K55+K60+K66+K73</f>
        <v>20504</v>
      </c>
      <c r="L47" s="58"/>
      <c r="M47" s="58"/>
    </row>
    <row r="48" spans="1:13" ht="56.25" x14ac:dyDescent="0.3">
      <c r="A48" s="97" t="s">
        <v>571</v>
      </c>
      <c r="B48" s="78" t="s">
        <v>572</v>
      </c>
      <c r="C48" s="98">
        <f>C49+C54</f>
        <v>6690.7</v>
      </c>
      <c r="D48" s="98">
        <f>D49+D53</f>
        <v>-227.39999999999998</v>
      </c>
      <c r="E48" s="98">
        <f>E49+E54</f>
        <v>6463.2999999999993</v>
      </c>
      <c r="F48" s="98">
        <f>F49+F54</f>
        <v>6690.7</v>
      </c>
      <c r="G48" s="98"/>
      <c r="H48" s="98">
        <f>H49+H54</f>
        <v>6690.7</v>
      </c>
      <c r="I48" s="98">
        <f>I49+I54</f>
        <v>6690.7</v>
      </c>
      <c r="J48" s="98"/>
      <c r="K48" s="98">
        <f>K49+K54</f>
        <v>6690.7</v>
      </c>
      <c r="L48" s="59"/>
      <c r="M48" s="59"/>
    </row>
    <row r="49" spans="1:13" ht="93.75" x14ac:dyDescent="0.3">
      <c r="A49" s="99" t="s">
        <v>573</v>
      </c>
      <c r="B49" s="100" t="s">
        <v>574</v>
      </c>
      <c r="C49" s="101">
        <f>C50+C51+C52</f>
        <v>5864.0999999999995</v>
      </c>
      <c r="D49" s="101">
        <f>D50+D51+D52</f>
        <v>31.5</v>
      </c>
      <c r="E49" s="101">
        <f t="shared" ref="E49:E54" si="5">SUM(C49:D49)</f>
        <v>5895.5999999999995</v>
      </c>
      <c r="F49" s="101">
        <f>F50+F51+F52</f>
        <v>5864.0999999999995</v>
      </c>
      <c r="G49" s="101"/>
      <c r="H49" s="101">
        <f>H50+H51+H52</f>
        <v>5864.0999999999995</v>
      </c>
      <c r="I49" s="101">
        <f>I50+I51+I52</f>
        <v>5864.0999999999995</v>
      </c>
      <c r="J49" s="101"/>
      <c r="K49" s="101">
        <f>K50+K51+K52</f>
        <v>5864.0999999999995</v>
      </c>
      <c r="L49" s="60"/>
      <c r="M49" s="60"/>
    </row>
    <row r="50" spans="1:13" ht="93.75" x14ac:dyDescent="0.3">
      <c r="A50" s="99" t="s">
        <v>575</v>
      </c>
      <c r="B50" s="100" t="s">
        <v>750</v>
      </c>
      <c r="C50" s="101">
        <v>5227.8999999999996</v>
      </c>
      <c r="D50" s="101">
        <v>-82.6</v>
      </c>
      <c r="E50" s="101">
        <f t="shared" si="5"/>
        <v>5145.2999999999993</v>
      </c>
      <c r="F50" s="101">
        <v>5227.8999999999996</v>
      </c>
      <c r="G50" s="101"/>
      <c r="H50" s="101">
        <v>5227.8999999999996</v>
      </c>
      <c r="I50" s="101">
        <v>5227.8999999999996</v>
      </c>
      <c r="J50" s="101"/>
      <c r="K50" s="101">
        <v>5227.8999999999996</v>
      </c>
      <c r="L50" s="60"/>
      <c r="M50" s="60"/>
    </row>
    <row r="51" spans="1:13" ht="75" x14ac:dyDescent="0.3">
      <c r="A51" s="99" t="s">
        <v>576</v>
      </c>
      <c r="B51" s="100" t="s">
        <v>751</v>
      </c>
      <c r="C51" s="101">
        <v>189.5</v>
      </c>
      <c r="D51" s="101">
        <v>12.8</v>
      </c>
      <c r="E51" s="101">
        <f t="shared" si="5"/>
        <v>202.3</v>
      </c>
      <c r="F51" s="101">
        <v>189.5</v>
      </c>
      <c r="G51" s="101"/>
      <c r="H51" s="101">
        <v>189.5</v>
      </c>
      <c r="I51" s="101">
        <v>189.5</v>
      </c>
      <c r="J51" s="101"/>
      <c r="K51" s="101">
        <v>189.5</v>
      </c>
      <c r="L51" s="60"/>
      <c r="M51" s="60"/>
    </row>
    <row r="52" spans="1:13" ht="75" x14ac:dyDescent="0.3">
      <c r="A52" s="99" t="s">
        <v>577</v>
      </c>
      <c r="B52" s="100" t="s">
        <v>578</v>
      </c>
      <c r="C52" s="101">
        <v>446.7</v>
      </c>
      <c r="D52" s="101">
        <v>101.3</v>
      </c>
      <c r="E52" s="101">
        <f t="shared" si="5"/>
        <v>548</v>
      </c>
      <c r="F52" s="101">
        <v>446.7</v>
      </c>
      <c r="G52" s="101"/>
      <c r="H52" s="101">
        <v>446.7</v>
      </c>
      <c r="I52" s="101">
        <v>446.7</v>
      </c>
      <c r="J52" s="101"/>
      <c r="K52" s="101">
        <v>446.7</v>
      </c>
      <c r="L52" s="60"/>
      <c r="M52" s="60"/>
    </row>
    <row r="53" spans="1:13" ht="93.75" x14ac:dyDescent="0.3">
      <c r="A53" s="99" t="s">
        <v>579</v>
      </c>
      <c r="B53" s="100" t="s">
        <v>752</v>
      </c>
      <c r="C53" s="101">
        <f>C54</f>
        <v>826.6</v>
      </c>
      <c r="D53" s="101">
        <f>D54</f>
        <v>-258.89999999999998</v>
      </c>
      <c r="E53" s="101">
        <f t="shared" si="5"/>
        <v>567.70000000000005</v>
      </c>
      <c r="F53" s="101">
        <f>F54</f>
        <v>826.6</v>
      </c>
      <c r="G53" s="101"/>
      <c r="H53" s="101">
        <f>H54</f>
        <v>826.6</v>
      </c>
      <c r="I53" s="101">
        <f>I54</f>
        <v>826.6</v>
      </c>
      <c r="J53" s="101"/>
      <c r="K53" s="101">
        <f>K54</f>
        <v>826.6</v>
      </c>
      <c r="L53" s="60"/>
      <c r="M53" s="60"/>
    </row>
    <row r="54" spans="1:13" ht="93.75" x14ac:dyDescent="0.3">
      <c r="A54" s="99" t="s">
        <v>580</v>
      </c>
      <c r="B54" s="100" t="s">
        <v>1119</v>
      </c>
      <c r="C54" s="101">
        <v>826.6</v>
      </c>
      <c r="D54" s="101">
        <v>-258.89999999999998</v>
      </c>
      <c r="E54" s="101">
        <f t="shared" si="5"/>
        <v>567.70000000000005</v>
      </c>
      <c r="F54" s="101">
        <v>826.6</v>
      </c>
      <c r="G54" s="101"/>
      <c r="H54" s="101">
        <v>826.6</v>
      </c>
      <c r="I54" s="101">
        <v>826.6</v>
      </c>
      <c r="J54" s="101"/>
      <c r="K54" s="101">
        <v>826.6</v>
      </c>
      <c r="L54" s="60"/>
      <c r="M54" s="60"/>
    </row>
    <row r="55" spans="1:13" ht="18.75" x14ac:dyDescent="0.3">
      <c r="A55" s="97" t="s">
        <v>581</v>
      </c>
      <c r="B55" s="78" t="s">
        <v>582</v>
      </c>
      <c r="C55" s="98">
        <f>C56</f>
        <v>151.5</v>
      </c>
      <c r="D55" s="98">
        <f>D56</f>
        <v>6.8000000000000007</v>
      </c>
      <c r="E55" s="98">
        <f>E56</f>
        <v>158.30000000000001</v>
      </c>
      <c r="F55" s="98">
        <f>F56</f>
        <v>151.5</v>
      </c>
      <c r="G55" s="98"/>
      <c r="H55" s="98">
        <f>H56</f>
        <v>151.5</v>
      </c>
      <c r="I55" s="98">
        <f>I56</f>
        <v>151.5</v>
      </c>
      <c r="J55" s="98"/>
      <c r="K55" s="98">
        <f>K56</f>
        <v>151.5</v>
      </c>
      <c r="L55" s="59"/>
      <c r="M55" s="59"/>
    </row>
    <row r="56" spans="1:13" ht="18.75" x14ac:dyDescent="0.3">
      <c r="A56" s="99" t="s">
        <v>583</v>
      </c>
      <c r="B56" s="100" t="s">
        <v>584</v>
      </c>
      <c r="C56" s="101">
        <f>C57+C58+C59</f>
        <v>151.5</v>
      </c>
      <c r="D56" s="101">
        <f>D57+D58+D59</f>
        <v>6.8000000000000007</v>
      </c>
      <c r="E56" s="101">
        <f t="shared" ref="E56:E59" si="6">SUM(C56:D56)</f>
        <v>158.30000000000001</v>
      </c>
      <c r="F56" s="101">
        <f>F57+F58+F59</f>
        <v>151.5</v>
      </c>
      <c r="G56" s="101"/>
      <c r="H56" s="101">
        <f>H57+H58+H59</f>
        <v>151.5</v>
      </c>
      <c r="I56" s="101">
        <f>I57+I58+I59</f>
        <v>151.5</v>
      </c>
      <c r="J56" s="101"/>
      <c r="K56" s="101">
        <f>K57+K58+K59</f>
        <v>151.5</v>
      </c>
      <c r="L56" s="60"/>
      <c r="M56" s="60"/>
    </row>
    <row r="57" spans="1:13" ht="37.5" x14ac:dyDescent="0.3">
      <c r="A57" s="99" t="s">
        <v>585</v>
      </c>
      <c r="B57" s="100" t="s">
        <v>586</v>
      </c>
      <c r="C57" s="101">
        <v>151</v>
      </c>
      <c r="D57" s="101">
        <v>-11.6</v>
      </c>
      <c r="E57" s="101">
        <f t="shared" si="6"/>
        <v>139.4</v>
      </c>
      <c r="F57" s="101">
        <v>151</v>
      </c>
      <c r="G57" s="101"/>
      <c r="H57" s="101">
        <v>151</v>
      </c>
      <c r="I57" s="101">
        <v>151</v>
      </c>
      <c r="J57" s="101"/>
      <c r="K57" s="101">
        <v>151</v>
      </c>
      <c r="L57" s="60"/>
      <c r="M57" s="60"/>
    </row>
    <row r="58" spans="1:13" ht="18.75" x14ac:dyDescent="0.3">
      <c r="A58" s="99" t="s">
        <v>587</v>
      </c>
      <c r="B58" s="100" t="s">
        <v>588</v>
      </c>
      <c r="C58" s="101">
        <v>0.5</v>
      </c>
      <c r="D58" s="101">
        <v>-0.4</v>
      </c>
      <c r="E58" s="101">
        <f t="shared" si="6"/>
        <v>9.9999999999999978E-2</v>
      </c>
      <c r="F58" s="101">
        <v>0.5</v>
      </c>
      <c r="G58" s="101"/>
      <c r="H58" s="101">
        <v>0.5</v>
      </c>
      <c r="I58" s="101">
        <v>0.5</v>
      </c>
      <c r="J58" s="101"/>
      <c r="K58" s="101">
        <v>0.5</v>
      </c>
      <c r="L58" s="60"/>
      <c r="M58" s="60"/>
    </row>
    <row r="59" spans="1:13" ht="18.75" x14ac:dyDescent="0.3">
      <c r="A59" s="99" t="s">
        <v>589</v>
      </c>
      <c r="B59" s="100" t="s">
        <v>590</v>
      </c>
      <c r="C59" s="101">
        <v>0</v>
      </c>
      <c r="D59" s="101">
        <v>18.8</v>
      </c>
      <c r="E59" s="101">
        <f t="shared" si="6"/>
        <v>18.8</v>
      </c>
      <c r="F59" s="101">
        <v>0</v>
      </c>
      <c r="G59" s="101"/>
      <c r="H59" s="101">
        <v>0</v>
      </c>
      <c r="I59" s="101">
        <v>0</v>
      </c>
      <c r="J59" s="101"/>
      <c r="K59" s="101">
        <v>0</v>
      </c>
      <c r="L59" s="60"/>
      <c r="M59" s="60"/>
    </row>
    <row r="60" spans="1:13" ht="37.5" x14ac:dyDescent="0.3">
      <c r="A60" s="97" t="s">
        <v>591</v>
      </c>
      <c r="B60" s="78" t="s">
        <v>592</v>
      </c>
      <c r="C60" s="98">
        <f>C61+C63</f>
        <v>16820</v>
      </c>
      <c r="D60" s="98">
        <f>D61+D63</f>
        <v>1102.2</v>
      </c>
      <c r="E60" s="98">
        <f>E61+E63</f>
        <v>17922.2</v>
      </c>
      <c r="F60" s="98">
        <f>F61+F63</f>
        <v>12120.5</v>
      </c>
      <c r="G60" s="98"/>
      <c r="H60" s="98">
        <f>H61+H63</f>
        <v>12120.5</v>
      </c>
      <c r="I60" s="98">
        <f>I61+I63</f>
        <v>12599.7</v>
      </c>
      <c r="J60" s="98"/>
      <c r="K60" s="98">
        <f>K61+K63</f>
        <v>12599.7</v>
      </c>
      <c r="L60" s="59"/>
      <c r="M60" s="59"/>
    </row>
    <row r="61" spans="1:13" ht="18.75" x14ac:dyDescent="0.3">
      <c r="A61" s="99" t="s">
        <v>593</v>
      </c>
      <c r="B61" s="100" t="s">
        <v>594</v>
      </c>
      <c r="C61" s="101">
        <f>C62</f>
        <v>13580</v>
      </c>
      <c r="D61" s="101">
        <f>D62</f>
        <v>0</v>
      </c>
      <c r="E61" s="101">
        <f t="shared" ref="E61:E65" si="7">SUM(C61:D61)</f>
        <v>13580</v>
      </c>
      <c r="F61" s="101">
        <f>F62</f>
        <v>11304</v>
      </c>
      <c r="G61" s="101"/>
      <c r="H61" s="101">
        <f>H62</f>
        <v>11304</v>
      </c>
      <c r="I61" s="101">
        <f>I62</f>
        <v>11756.1</v>
      </c>
      <c r="J61" s="101"/>
      <c r="K61" s="101">
        <f>K62</f>
        <v>11756.1</v>
      </c>
      <c r="L61" s="60"/>
      <c r="M61" s="60"/>
    </row>
    <row r="62" spans="1:13" ht="37.5" x14ac:dyDescent="0.3">
      <c r="A62" s="99" t="s">
        <v>595</v>
      </c>
      <c r="B62" s="100" t="s">
        <v>596</v>
      </c>
      <c r="C62" s="101">
        <v>13580</v>
      </c>
      <c r="D62" s="101"/>
      <c r="E62" s="101">
        <f t="shared" si="7"/>
        <v>13580</v>
      </c>
      <c r="F62" s="101">
        <v>11304</v>
      </c>
      <c r="G62" s="101"/>
      <c r="H62" s="101">
        <v>11304</v>
      </c>
      <c r="I62" s="101">
        <v>11756.1</v>
      </c>
      <c r="J62" s="101"/>
      <c r="K62" s="101">
        <v>11756.1</v>
      </c>
      <c r="L62" s="60"/>
      <c r="M62" s="60"/>
    </row>
    <row r="63" spans="1:13" ht="18.75" x14ac:dyDescent="0.3">
      <c r="A63" s="99" t="s">
        <v>597</v>
      </c>
      <c r="B63" s="100" t="s">
        <v>598</v>
      </c>
      <c r="C63" s="101">
        <f>C64+C65</f>
        <v>3240</v>
      </c>
      <c r="D63" s="101">
        <f>D65+D64</f>
        <v>1102.2</v>
      </c>
      <c r="E63" s="101">
        <f t="shared" si="7"/>
        <v>4342.2</v>
      </c>
      <c r="F63" s="101">
        <f>F64+F65</f>
        <v>816.5</v>
      </c>
      <c r="G63" s="101"/>
      <c r="H63" s="101">
        <f>H64+H65</f>
        <v>816.5</v>
      </c>
      <c r="I63" s="101">
        <f>I64+I65</f>
        <v>843.6</v>
      </c>
      <c r="J63" s="101"/>
      <c r="K63" s="101">
        <f>K64+K65</f>
        <v>843.6</v>
      </c>
      <c r="L63" s="60"/>
      <c r="M63" s="60"/>
    </row>
    <row r="64" spans="1:13" ht="37.5" x14ac:dyDescent="0.3">
      <c r="A64" s="99" t="s">
        <v>599</v>
      </c>
      <c r="B64" s="100" t="s">
        <v>600</v>
      </c>
      <c r="C64" s="101">
        <v>790.7</v>
      </c>
      <c r="D64" s="101">
        <v>181.5</v>
      </c>
      <c r="E64" s="101">
        <f t="shared" si="7"/>
        <v>972.2</v>
      </c>
      <c r="F64" s="101">
        <v>816.5</v>
      </c>
      <c r="G64" s="101"/>
      <c r="H64" s="101">
        <v>816.5</v>
      </c>
      <c r="I64" s="101">
        <v>843.6</v>
      </c>
      <c r="J64" s="101"/>
      <c r="K64" s="101">
        <v>843.6</v>
      </c>
      <c r="L64" s="60"/>
      <c r="M64" s="60"/>
    </row>
    <row r="65" spans="1:13" ht="18.75" x14ac:dyDescent="0.3">
      <c r="A65" s="99" t="s">
        <v>1122</v>
      </c>
      <c r="B65" s="100" t="s">
        <v>1142</v>
      </c>
      <c r="C65" s="101">
        <v>2449.3000000000002</v>
      </c>
      <c r="D65" s="101">
        <v>920.7</v>
      </c>
      <c r="E65" s="101">
        <f t="shared" si="7"/>
        <v>3370</v>
      </c>
      <c r="F65" s="101">
        <v>0</v>
      </c>
      <c r="G65" s="101"/>
      <c r="H65" s="101">
        <v>0</v>
      </c>
      <c r="I65" s="101"/>
      <c r="J65" s="101"/>
      <c r="K65" s="101">
        <v>0</v>
      </c>
      <c r="L65" s="60"/>
      <c r="M65" s="60"/>
    </row>
    <row r="66" spans="1:13" ht="37.5" x14ac:dyDescent="0.3">
      <c r="A66" s="97" t="s">
        <v>601</v>
      </c>
      <c r="B66" s="78" t="s">
        <v>602</v>
      </c>
      <c r="C66" s="98">
        <f>C70+C67</f>
        <v>1647.3</v>
      </c>
      <c r="D66" s="98">
        <f>D70+D67</f>
        <v>312.7</v>
      </c>
      <c r="E66" s="98">
        <f>E70+E67</f>
        <v>1960</v>
      </c>
      <c r="F66" s="98">
        <f>F70+F67</f>
        <v>100</v>
      </c>
      <c r="G66" s="98"/>
      <c r="H66" s="98">
        <f>H70+H67</f>
        <v>100</v>
      </c>
      <c r="I66" s="98">
        <f>I70+I67</f>
        <v>100</v>
      </c>
      <c r="J66" s="98"/>
      <c r="K66" s="98">
        <f>K70+K67</f>
        <v>100</v>
      </c>
      <c r="L66" s="59"/>
      <c r="M66" s="59"/>
    </row>
    <row r="67" spans="1:13" ht="112.5" x14ac:dyDescent="0.3">
      <c r="A67" s="102" t="s">
        <v>603</v>
      </c>
      <c r="B67" s="80" t="s">
        <v>604</v>
      </c>
      <c r="C67" s="103">
        <f>C68+C69</f>
        <v>1039.5</v>
      </c>
      <c r="D67" s="103">
        <f>D68+D69</f>
        <v>144.19999999999999</v>
      </c>
      <c r="E67" s="101">
        <f t="shared" ref="E67:E72" si="8">SUM(C67:D67)</f>
        <v>1183.7</v>
      </c>
      <c r="F67" s="103">
        <f>F68</f>
        <v>0</v>
      </c>
      <c r="G67" s="103"/>
      <c r="H67" s="103">
        <f>H68</f>
        <v>0</v>
      </c>
      <c r="I67" s="103">
        <f>I68</f>
        <v>0</v>
      </c>
      <c r="J67" s="103"/>
      <c r="K67" s="103">
        <f>K68</f>
        <v>0</v>
      </c>
      <c r="L67" s="61"/>
      <c r="M67" s="61"/>
    </row>
    <row r="68" spans="1:13" ht="112.5" x14ac:dyDescent="0.3">
      <c r="A68" s="102" t="s">
        <v>605</v>
      </c>
      <c r="B68" s="80" t="s">
        <v>606</v>
      </c>
      <c r="C68" s="104">
        <v>1027.0999999999999</v>
      </c>
      <c r="D68" s="104">
        <v>111.6</v>
      </c>
      <c r="E68" s="101">
        <f t="shared" si="8"/>
        <v>1138.6999999999998</v>
      </c>
      <c r="F68" s="104">
        <v>0</v>
      </c>
      <c r="G68" s="104"/>
      <c r="H68" s="104">
        <v>0</v>
      </c>
      <c r="I68" s="104">
        <v>0</v>
      </c>
      <c r="J68" s="104"/>
      <c r="K68" s="104">
        <v>0</v>
      </c>
      <c r="L68" s="62"/>
      <c r="M68" s="62"/>
    </row>
    <row r="69" spans="1:13" ht="112.5" x14ac:dyDescent="0.3">
      <c r="A69" s="102" t="s">
        <v>1188</v>
      </c>
      <c r="B69" s="80" t="s">
        <v>1189</v>
      </c>
      <c r="C69" s="104">
        <v>12.4</v>
      </c>
      <c r="D69" s="104">
        <v>32.6</v>
      </c>
      <c r="E69" s="101">
        <f t="shared" si="8"/>
        <v>45</v>
      </c>
      <c r="F69" s="104"/>
      <c r="G69" s="104"/>
      <c r="H69" s="104">
        <v>0</v>
      </c>
      <c r="I69" s="104"/>
      <c r="J69" s="104"/>
      <c r="K69" s="104">
        <v>0</v>
      </c>
      <c r="L69" s="62"/>
      <c r="M69" s="62"/>
    </row>
    <row r="70" spans="1:13" ht="37.5" x14ac:dyDescent="0.3">
      <c r="A70" s="99" t="s">
        <v>607</v>
      </c>
      <c r="B70" s="100" t="s">
        <v>608</v>
      </c>
      <c r="C70" s="101">
        <f>C71+C72</f>
        <v>607.79999999999995</v>
      </c>
      <c r="D70" s="101">
        <f>D71+D72</f>
        <v>168.5</v>
      </c>
      <c r="E70" s="101">
        <f t="shared" si="8"/>
        <v>776.3</v>
      </c>
      <c r="F70" s="101">
        <f>F71+F72</f>
        <v>100</v>
      </c>
      <c r="G70" s="101"/>
      <c r="H70" s="101">
        <f>H71+H72</f>
        <v>100</v>
      </c>
      <c r="I70" s="101">
        <f>I71+I72</f>
        <v>100</v>
      </c>
      <c r="J70" s="101"/>
      <c r="K70" s="101">
        <f>K71+K72</f>
        <v>100</v>
      </c>
      <c r="L70" s="60"/>
      <c r="M70" s="60"/>
    </row>
    <row r="71" spans="1:13" ht="56.25" x14ac:dyDescent="0.3">
      <c r="A71" s="99" t="s">
        <v>609</v>
      </c>
      <c r="B71" s="100" t="s">
        <v>610</v>
      </c>
      <c r="C71" s="101">
        <v>327.39999999999998</v>
      </c>
      <c r="D71" s="101">
        <v>168.5</v>
      </c>
      <c r="E71" s="101">
        <f t="shared" si="8"/>
        <v>495.9</v>
      </c>
      <c r="F71" s="101">
        <v>100</v>
      </c>
      <c r="G71" s="101"/>
      <c r="H71" s="101">
        <v>100</v>
      </c>
      <c r="I71" s="101">
        <v>100</v>
      </c>
      <c r="J71" s="101"/>
      <c r="K71" s="101">
        <v>100</v>
      </c>
      <c r="L71" s="60"/>
      <c r="M71" s="60"/>
    </row>
    <row r="72" spans="1:13" ht="56.25" x14ac:dyDescent="0.3">
      <c r="A72" s="99" t="s">
        <v>611</v>
      </c>
      <c r="B72" s="100" t="s">
        <v>612</v>
      </c>
      <c r="C72" s="101">
        <v>280.39999999999998</v>
      </c>
      <c r="D72" s="101">
        <v>0</v>
      </c>
      <c r="E72" s="101">
        <f t="shared" si="8"/>
        <v>280.39999999999998</v>
      </c>
      <c r="F72" s="101">
        <v>0</v>
      </c>
      <c r="G72" s="101"/>
      <c r="H72" s="101">
        <v>0</v>
      </c>
      <c r="I72" s="101">
        <v>0</v>
      </c>
      <c r="J72" s="101"/>
      <c r="K72" s="101">
        <v>0</v>
      </c>
      <c r="L72" s="60"/>
      <c r="M72" s="60"/>
    </row>
    <row r="73" spans="1:13" ht="18.75" x14ac:dyDescent="0.3">
      <c r="A73" s="97" t="s">
        <v>613</v>
      </c>
      <c r="B73" s="78" t="s">
        <v>614</v>
      </c>
      <c r="C73" s="98">
        <f>SUM(C75:C87)</f>
        <v>889.7</v>
      </c>
      <c r="D73" s="98">
        <f>SUM(D75:D94)</f>
        <v>328.2</v>
      </c>
      <c r="E73" s="98">
        <f>SUM(E75:E94)</f>
        <v>1217.9000000000001</v>
      </c>
      <c r="F73" s="98">
        <f>SUM(F75:F87)</f>
        <v>925.20000000000016</v>
      </c>
      <c r="G73" s="98"/>
      <c r="H73" s="98">
        <f>SUM(H75:H87)</f>
        <v>925.20000000000016</v>
      </c>
      <c r="I73" s="98">
        <f>SUM(I75:I87)</f>
        <v>962.09999999999991</v>
      </c>
      <c r="J73" s="98"/>
      <c r="K73" s="98">
        <f>SUM(K75:K87)</f>
        <v>962.09999999999991</v>
      </c>
      <c r="L73" s="59"/>
      <c r="M73" s="59"/>
    </row>
    <row r="74" spans="1:13" ht="56.25" x14ac:dyDescent="0.3">
      <c r="A74" s="99" t="s">
        <v>615</v>
      </c>
      <c r="B74" s="100" t="s">
        <v>616</v>
      </c>
      <c r="C74" s="101"/>
      <c r="D74" s="101"/>
      <c r="E74" s="101"/>
      <c r="F74" s="101"/>
      <c r="G74" s="101"/>
      <c r="H74" s="101"/>
      <c r="I74" s="101"/>
      <c r="J74" s="101"/>
      <c r="K74" s="101"/>
      <c r="L74" s="60"/>
      <c r="M74" s="60"/>
    </row>
    <row r="75" spans="1:13" ht="75" x14ac:dyDescent="0.3">
      <c r="A75" s="99" t="s">
        <v>617</v>
      </c>
      <c r="B75" s="100" t="s">
        <v>753</v>
      </c>
      <c r="C75" s="101">
        <v>35.4</v>
      </c>
      <c r="D75" s="101">
        <v>26.9</v>
      </c>
      <c r="E75" s="101">
        <f t="shared" ref="E75:E86" si="9">SUM(C75:D75)</f>
        <v>62.3</v>
      </c>
      <c r="F75" s="101">
        <v>36.9</v>
      </c>
      <c r="G75" s="101"/>
      <c r="H75" s="101">
        <v>36.9</v>
      </c>
      <c r="I75" s="101">
        <v>38.299999999999997</v>
      </c>
      <c r="J75" s="101"/>
      <c r="K75" s="101">
        <v>38.299999999999997</v>
      </c>
      <c r="L75" s="60"/>
      <c r="M75" s="60"/>
    </row>
    <row r="76" spans="1:13" ht="112.5" x14ac:dyDescent="0.3">
      <c r="A76" s="99" t="s">
        <v>618</v>
      </c>
      <c r="B76" s="100" t="s">
        <v>754</v>
      </c>
      <c r="C76" s="101">
        <v>250.1</v>
      </c>
      <c r="D76" s="101">
        <v>19.100000000000001</v>
      </c>
      <c r="E76" s="101">
        <f t="shared" si="9"/>
        <v>269.2</v>
      </c>
      <c r="F76" s="101">
        <v>260.10000000000002</v>
      </c>
      <c r="G76" s="101"/>
      <c r="H76" s="101">
        <v>260.10000000000002</v>
      </c>
      <c r="I76" s="101">
        <v>270.5</v>
      </c>
      <c r="J76" s="101"/>
      <c r="K76" s="101">
        <v>270.5</v>
      </c>
      <c r="L76" s="60"/>
      <c r="M76" s="60"/>
    </row>
    <row r="77" spans="1:13" ht="75" x14ac:dyDescent="0.3">
      <c r="A77" s="99" t="s">
        <v>619</v>
      </c>
      <c r="B77" s="100" t="s">
        <v>755</v>
      </c>
      <c r="C77" s="101">
        <v>94.5</v>
      </c>
      <c r="D77" s="101">
        <v>-44.5</v>
      </c>
      <c r="E77" s="101">
        <f t="shared" si="9"/>
        <v>50</v>
      </c>
      <c r="F77" s="101">
        <v>98.3</v>
      </c>
      <c r="G77" s="101"/>
      <c r="H77" s="101">
        <v>98.3</v>
      </c>
      <c r="I77" s="101">
        <v>102.2</v>
      </c>
      <c r="J77" s="101"/>
      <c r="K77" s="101">
        <v>102.2</v>
      </c>
      <c r="L77" s="60"/>
      <c r="M77" s="60"/>
    </row>
    <row r="78" spans="1:13" ht="75" x14ac:dyDescent="0.3">
      <c r="A78" s="395" t="s">
        <v>1221</v>
      </c>
      <c r="B78" s="541" t="s">
        <v>1222</v>
      </c>
      <c r="C78" s="101"/>
      <c r="D78" s="101">
        <v>75</v>
      </c>
      <c r="E78" s="101">
        <f t="shared" si="9"/>
        <v>75</v>
      </c>
      <c r="F78" s="101"/>
      <c r="G78" s="101"/>
      <c r="H78" s="101"/>
      <c r="I78" s="101"/>
      <c r="J78" s="101"/>
      <c r="K78" s="101"/>
      <c r="L78" s="60"/>
      <c r="M78" s="60"/>
    </row>
    <row r="79" spans="1:13" ht="93.75" x14ac:dyDescent="0.3">
      <c r="A79" s="99" t="s">
        <v>620</v>
      </c>
      <c r="B79" s="100" t="s">
        <v>756</v>
      </c>
      <c r="C79" s="101">
        <v>95.1</v>
      </c>
      <c r="D79" s="101">
        <v>-43</v>
      </c>
      <c r="E79" s="101">
        <f t="shared" si="9"/>
        <v>52.099999999999994</v>
      </c>
      <c r="F79" s="101">
        <v>98.9</v>
      </c>
      <c r="G79" s="101"/>
      <c r="H79" s="101">
        <v>98.9</v>
      </c>
      <c r="I79" s="101">
        <v>102.9</v>
      </c>
      <c r="J79" s="101"/>
      <c r="K79" s="101">
        <v>102.9</v>
      </c>
      <c r="L79" s="60"/>
      <c r="M79" s="60"/>
    </row>
    <row r="80" spans="1:13" ht="93.75" x14ac:dyDescent="0.3">
      <c r="A80" s="99" t="s">
        <v>621</v>
      </c>
      <c r="B80" s="100" t="s">
        <v>757</v>
      </c>
      <c r="C80" s="101">
        <v>0</v>
      </c>
      <c r="D80" s="101"/>
      <c r="E80" s="101">
        <f t="shared" si="9"/>
        <v>0</v>
      </c>
      <c r="F80" s="101">
        <v>0</v>
      </c>
      <c r="G80" s="101"/>
      <c r="H80" s="101">
        <v>0</v>
      </c>
      <c r="I80" s="101">
        <v>0</v>
      </c>
      <c r="J80" s="101"/>
      <c r="K80" s="101">
        <v>0</v>
      </c>
      <c r="L80" s="60"/>
      <c r="M80" s="60"/>
    </row>
    <row r="81" spans="1:14" ht="93.75" x14ac:dyDescent="0.3">
      <c r="A81" s="99" t="s">
        <v>622</v>
      </c>
      <c r="B81" s="100" t="s">
        <v>758</v>
      </c>
      <c r="C81" s="101">
        <v>1.8</v>
      </c>
      <c r="D81" s="101">
        <v>2.4</v>
      </c>
      <c r="E81" s="101">
        <f t="shared" si="9"/>
        <v>4.2</v>
      </c>
      <c r="F81" s="101">
        <v>1.9</v>
      </c>
      <c r="G81" s="101"/>
      <c r="H81" s="101">
        <v>1.9</v>
      </c>
      <c r="I81" s="101">
        <v>1.9</v>
      </c>
      <c r="J81" s="101"/>
      <c r="K81" s="101">
        <v>1.9</v>
      </c>
      <c r="L81" s="60"/>
      <c r="M81" s="60"/>
    </row>
    <row r="82" spans="1:14" ht="131.25" x14ac:dyDescent="0.3">
      <c r="A82" s="99" t="s">
        <v>623</v>
      </c>
      <c r="B82" s="100" t="s">
        <v>759</v>
      </c>
      <c r="C82" s="101">
        <v>19</v>
      </c>
      <c r="D82" s="101">
        <v>-6.3</v>
      </c>
      <c r="E82" s="101">
        <f t="shared" si="9"/>
        <v>12.7</v>
      </c>
      <c r="F82" s="101">
        <v>19.7</v>
      </c>
      <c r="G82" s="101"/>
      <c r="H82" s="101">
        <v>19.7</v>
      </c>
      <c r="I82" s="101">
        <v>20.5</v>
      </c>
      <c r="J82" s="101"/>
      <c r="K82" s="101">
        <v>20.5</v>
      </c>
      <c r="L82" s="60"/>
      <c r="M82" s="60"/>
    </row>
    <row r="83" spans="1:14" ht="112.5" x14ac:dyDescent="0.3">
      <c r="A83" s="395" t="s">
        <v>1223</v>
      </c>
      <c r="B83" s="541" t="s">
        <v>1224</v>
      </c>
      <c r="C83" s="101"/>
      <c r="D83" s="101">
        <v>40</v>
      </c>
      <c r="E83" s="101">
        <f t="shared" si="9"/>
        <v>40</v>
      </c>
      <c r="F83" s="101"/>
      <c r="G83" s="101"/>
      <c r="H83" s="101"/>
      <c r="I83" s="101"/>
      <c r="J83" s="101"/>
      <c r="K83" s="101"/>
      <c r="L83" s="60"/>
      <c r="M83" s="60"/>
    </row>
    <row r="84" spans="1:14" ht="93.75" x14ac:dyDescent="0.3">
      <c r="A84" s="99" t="s">
        <v>624</v>
      </c>
      <c r="B84" s="100" t="s">
        <v>760</v>
      </c>
      <c r="C84" s="101">
        <v>1.7</v>
      </c>
      <c r="D84" s="101">
        <v>1.7</v>
      </c>
      <c r="E84" s="101">
        <f t="shared" si="9"/>
        <v>3.4</v>
      </c>
      <c r="F84" s="101">
        <v>1.7</v>
      </c>
      <c r="G84" s="101"/>
      <c r="H84" s="101">
        <v>1.7</v>
      </c>
      <c r="I84" s="101">
        <v>1.8</v>
      </c>
      <c r="J84" s="101"/>
      <c r="K84" s="101">
        <v>1.8</v>
      </c>
      <c r="L84" s="60"/>
      <c r="M84" s="60"/>
    </row>
    <row r="85" spans="1:14" ht="75" x14ac:dyDescent="0.3">
      <c r="A85" s="99" t="s">
        <v>625</v>
      </c>
      <c r="B85" s="100" t="s">
        <v>761</v>
      </c>
      <c r="C85" s="101">
        <v>98.9</v>
      </c>
      <c r="D85" s="101">
        <v>14.2</v>
      </c>
      <c r="E85" s="101">
        <f t="shared" si="9"/>
        <v>113.10000000000001</v>
      </c>
      <c r="F85" s="101">
        <v>102.8</v>
      </c>
      <c r="G85" s="101"/>
      <c r="H85" s="101">
        <v>102.8</v>
      </c>
      <c r="I85" s="101">
        <v>106.9</v>
      </c>
      <c r="J85" s="101"/>
      <c r="K85" s="101">
        <v>106.9</v>
      </c>
      <c r="L85" s="60"/>
      <c r="M85" s="60"/>
    </row>
    <row r="86" spans="1:14" ht="93.75" x14ac:dyDescent="0.3">
      <c r="A86" s="99" t="s">
        <v>626</v>
      </c>
      <c r="B86" s="100" t="s">
        <v>762</v>
      </c>
      <c r="C86" s="101">
        <v>192.6</v>
      </c>
      <c r="D86" s="101">
        <v>-22.6</v>
      </c>
      <c r="E86" s="101">
        <f t="shared" si="9"/>
        <v>170</v>
      </c>
      <c r="F86" s="101">
        <v>200.3</v>
      </c>
      <c r="G86" s="101"/>
      <c r="H86" s="101">
        <v>200.3</v>
      </c>
      <c r="I86" s="101">
        <v>208.3</v>
      </c>
      <c r="J86" s="101"/>
      <c r="K86" s="101">
        <v>208.3</v>
      </c>
      <c r="L86" s="60"/>
      <c r="M86" s="60"/>
    </row>
    <row r="87" spans="1:14" ht="150" x14ac:dyDescent="0.3">
      <c r="A87" s="99" t="s">
        <v>627</v>
      </c>
      <c r="B87" s="100" t="s">
        <v>763</v>
      </c>
      <c r="C87" s="101">
        <v>100.6</v>
      </c>
      <c r="D87" s="101">
        <v>-53.1</v>
      </c>
      <c r="E87" s="101">
        <f>SUM(C87:D87)</f>
        <v>47.499999999999993</v>
      </c>
      <c r="F87" s="101">
        <v>104.6</v>
      </c>
      <c r="G87" s="101"/>
      <c r="H87" s="101">
        <v>104.6</v>
      </c>
      <c r="I87" s="101">
        <v>108.8</v>
      </c>
      <c r="J87" s="101"/>
      <c r="K87" s="101">
        <v>108.8</v>
      </c>
      <c r="L87" s="60"/>
      <c r="M87" s="60"/>
    </row>
    <row r="88" spans="1:14" ht="56.25" x14ac:dyDescent="0.3">
      <c r="A88" s="395" t="s">
        <v>1225</v>
      </c>
      <c r="B88" s="541" t="s">
        <v>1226</v>
      </c>
      <c r="C88" s="101"/>
      <c r="D88" s="101">
        <v>5.6</v>
      </c>
      <c r="E88" s="101">
        <v>5.6</v>
      </c>
      <c r="F88" s="101"/>
      <c r="G88" s="101"/>
      <c r="H88" s="101"/>
      <c r="I88" s="101"/>
      <c r="J88" s="101"/>
      <c r="K88" s="101"/>
      <c r="L88" s="60"/>
      <c r="M88" s="60"/>
    </row>
    <row r="89" spans="1:14" ht="75" x14ac:dyDescent="0.3">
      <c r="A89" s="395" t="s">
        <v>1227</v>
      </c>
      <c r="B89" s="541" t="s">
        <v>1228</v>
      </c>
      <c r="C89" s="101"/>
      <c r="D89" s="101">
        <v>25.8</v>
      </c>
      <c r="E89" s="101">
        <v>25.8</v>
      </c>
      <c r="F89" s="101"/>
      <c r="G89" s="101"/>
      <c r="H89" s="101"/>
      <c r="I89" s="101"/>
      <c r="J89" s="101"/>
      <c r="K89" s="101"/>
      <c r="L89" s="60"/>
      <c r="M89" s="60"/>
    </row>
    <row r="90" spans="1:14" ht="75" x14ac:dyDescent="0.3">
      <c r="A90" s="395" t="s">
        <v>1229</v>
      </c>
      <c r="B90" s="541" t="s">
        <v>1230</v>
      </c>
      <c r="C90" s="101"/>
      <c r="D90" s="101">
        <v>1.7</v>
      </c>
      <c r="E90" s="101">
        <v>1.7</v>
      </c>
      <c r="F90" s="101"/>
      <c r="G90" s="101"/>
      <c r="H90" s="101"/>
      <c r="I90" s="101"/>
      <c r="J90" s="101"/>
      <c r="K90" s="101"/>
      <c r="L90" s="60"/>
      <c r="M90" s="60"/>
    </row>
    <row r="91" spans="1:14" ht="75" x14ac:dyDescent="0.3">
      <c r="A91" s="395" t="s">
        <v>1231</v>
      </c>
      <c r="B91" s="541" t="s">
        <v>1232</v>
      </c>
      <c r="C91" s="101"/>
      <c r="D91" s="101">
        <v>5</v>
      </c>
      <c r="E91" s="101">
        <v>5</v>
      </c>
      <c r="F91" s="101"/>
      <c r="G91" s="101"/>
      <c r="H91" s="101"/>
      <c r="I91" s="101"/>
      <c r="J91" s="101"/>
      <c r="K91" s="101"/>
      <c r="L91" s="60"/>
      <c r="M91" s="60"/>
    </row>
    <row r="92" spans="1:14" ht="168.75" x14ac:dyDescent="0.3">
      <c r="A92" s="99" t="s">
        <v>1233</v>
      </c>
      <c r="B92" s="100" t="s">
        <v>1234</v>
      </c>
      <c r="C92" s="101"/>
      <c r="D92" s="101">
        <v>9</v>
      </c>
      <c r="E92" s="101">
        <v>9</v>
      </c>
      <c r="F92" s="101"/>
      <c r="G92" s="101"/>
      <c r="H92" s="101"/>
      <c r="I92" s="101"/>
      <c r="J92" s="101"/>
      <c r="K92" s="101"/>
      <c r="L92" s="60"/>
      <c r="M92" s="60"/>
    </row>
    <row r="93" spans="1:14" ht="75" x14ac:dyDescent="0.3">
      <c r="A93" s="395" t="s">
        <v>1235</v>
      </c>
      <c r="B93" s="541" t="s">
        <v>1236</v>
      </c>
      <c r="C93" s="101"/>
      <c r="D93" s="101">
        <v>3</v>
      </c>
      <c r="E93" s="101">
        <v>3</v>
      </c>
      <c r="F93" s="101"/>
      <c r="G93" s="101"/>
      <c r="H93" s="101"/>
      <c r="I93" s="101"/>
      <c r="J93" s="101"/>
      <c r="K93" s="101"/>
      <c r="L93" s="60"/>
      <c r="M93" s="60"/>
    </row>
    <row r="94" spans="1:14" ht="112.5" x14ac:dyDescent="0.3">
      <c r="A94" s="395" t="s">
        <v>1237</v>
      </c>
      <c r="B94" s="541" t="s">
        <v>1238</v>
      </c>
      <c r="C94" s="101"/>
      <c r="D94" s="101">
        <v>268.3</v>
      </c>
      <c r="E94" s="101">
        <v>268.3</v>
      </c>
      <c r="F94" s="101"/>
      <c r="G94" s="101"/>
      <c r="H94" s="101"/>
      <c r="I94" s="101"/>
      <c r="J94" s="101"/>
      <c r="K94" s="101"/>
      <c r="L94" s="60"/>
      <c r="M94" s="60"/>
    </row>
    <row r="95" spans="1:14" ht="18.75" x14ac:dyDescent="0.3">
      <c r="A95" s="105" t="s">
        <v>628</v>
      </c>
      <c r="B95" s="93" t="s">
        <v>629</v>
      </c>
      <c r="C95" s="538">
        <f>C96+C213+C208+C206</f>
        <v>763316.49999999988</v>
      </c>
      <c r="D95" s="538">
        <f>D96+D213+D208+D206+D211</f>
        <v>810.94499999999834</v>
      </c>
      <c r="E95" s="538">
        <f>E96+E213+E208+E206+E211</f>
        <v>764127.44499999995</v>
      </c>
      <c r="F95" s="94">
        <f t="shared" ref="F95:K95" si="10">F96</f>
        <v>685063</v>
      </c>
      <c r="G95" s="94">
        <f t="shared" si="10"/>
        <v>0</v>
      </c>
      <c r="H95" s="94">
        <f t="shared" si="10"/>
        <v>685063</v>
      </c>
      <c r="I95" s="94">
        <f t="shared" si="10"/>
        <v>647618.80000000016</v>
      </c>
      <c r="J95" s="94">
        <f t="shared" si="10"/>
        <v>0</v>
      </c>
      <c r="K95" s="94">
        <f t="shared" si="10"/>
        <v>647618.80000000016</v>
      </c>
      <c r="L95" s="57"/>
      <c r="M95" s="57"/>
    </row>
    <row r="96" spans="1:14" ht="37.5" x14ac:dyDescent="0.3">
      <c r="A96" s="73" t="s">
        <v>630</v>
      </c>
      <c r="B96" s="74" t="s">
        <v>631</v>
      </c>
      <c r="C96" s="106">
        <f t="shared" ref="C96:K96" si="11">C97+C106+C169+C195</f>
        <v>773854.39999999991</v>
      </c>
      <c r="D96" s="531">
        <f>D97+D106+D169+D195</f>
        <v>2220.1409999999983</v>
      </c>
      <c r="E96" s="531">
        <f>E97+E106+E169+E195</f>
        <v>776074.54099999997</v>
      </c>
      <c r="F96" s="106">
        <f t="shared" si="11"/>
        <v>685063</v>
      </c>
      <c r="G96" s="106">
        <f t="shared" si="11"/>
        <v>0</v>
      </c>
      <c r="H96" s="106">
        <f t="shared" si="11"/>
        <v>685063</v>
      </c>
      <c r="I96" s="106">
        <f t="shared" si="11"/>
        <v>647618.80000000016</v>
      </c>
      <c r="J96" s="106">
        <f t="shared" si="11"/>
        <v>0</v>
      </c>
      <c r="K96" s="106">
        <f t="shared" si="11"/>
        <v>647618.80000000016</v>
      </c>
      <c r="L96" s="63"/>
      <c r="M96" s="63"/>
      <c r="N96" s="537">
        <f>E96-E97</f>
        <v>485772.34099999996</v>
      </c>
    </row>
    <row r="97" spans="1:13" ht="18.75" x14ac:dyDescent="0.3">
      <c r="A97" s="107" t="s">
        <v>632</v>
      </c>
      <c r="B97" s="77" t="s">
        <v>764</v>
      </c>
      <c r="C97" s="108">
        <f>C98+C99+C102</f>
        <v>290302.2</v>
      </c>
      <c r="D97" s="108">
        <f>D98+D99+D102</f>
        <v>0</v>
      </c>
      <c r="E97" s="546">
        <f>E98+E99+E102</f>
        <v>290302.2</v>
      </c>
      <c r="F97" s="108">
        <f>F98+F99+F102</f>
        <v>263298.09999999998</v>
      </c>
      <c r="G97" s="108"/>
      <c r="H97" s="108">
        <f>H98+H99+H102</f>
        <v>263298.09999999998</v>
      </c>
      <c r="I97" s="108">
        <f>I98+I99+I102</f>
        <v>283197.7</v>
      </c>
      <c r="J97" s="108"/>
      <c r="K97" s="108">
        <f>K98+K99+K102</f>
        <v>283197.7</v>
      </c>
      <c r="L97" s="64"/>
      <c r="M97" s="64"/>
    </row>
    <row r="98" spans="1:13" ht="37.5" x14ac:dyDescent="0.25">
      <c r="A98" s="97" t="s">
        <v>633</v>
      </c>
      <c r="B98" s="78" t="s">
        <v>634</v>
      </c>
      <c r="C98" s="109">
        <v>282491</v>
      </c>
      <c r="D98" s="109"/>
      <c r="E98" s="535">
        <v>282491</v>
      </c>
      <c r="F98" s="109">
        <v>263298.09999999998</v>
      </c>
      <c r="G98" s="109"/>
      <c r="H98" s="109">
        <v>263298.09999999998</v>
      </c>
      <c r="I98" s="109">
        <v>283197.7</v>
      </c>
      <c r="J98" s="109"/>
      <c r="K98" s="109">
        <v>283197.7</v>
      </c>
      <c r="L98" s="65" t="s">
        <v>1001</v>
      </c>
      <c r="M98" s="65"/>
    </row>
    <row r="99" spans="1:13" ht="37.5" x14ac:dyDescent="0.25">
      <c r="A99" s="97" t="s">
        <v>635</v>
      </c>
      <c r="B99" s="79" t="s">
        <v>636</v>
      </c>
      <c r="C99" s="109">
        <f>C101</f>
        <v>5455</v>
      </c>
      <c r="D99" s="109"/>
      <c r="E99" s="535">
        <f>E101</f>
        <v>5455</v>
      </c>
      <c r="F99" s="109">
        <f>F101</f>
        <v>0</v>
      </c>
      <c r="G99" s="109"/>
      <c r="H99" s="109">
        <f>H101</f>
        <v>0</v>
      </c>
      <c r="I99" s="109">
        <f>I101</f>
        <v>0</v>
      </c>
      <c r="J99" s="109"/>
      <c r="K99" s="109">
        <f>K101</f>
        <v>0</v>
      </c>
      <c r="L99" s="65" t="s">
        <v>1001</v>
      </c>
      <c r="M99" s="65"/>
    </row>
    <row r="100" spans="1:13" ht="18.75" x14ac:dyDescent="0.25">
      <c r="A100" s="97"/>
      <c r="B100" s="80" t="s">
        <v>1</v>
      </c>
      <c r="C100" s="109"/>
      <c r="D100" s="109"/>
      <c r="E100" s="535"/>
      <c r="F100" s="109"/>
      <c r="G100" s="109"/>
      <c r="H100" s="109"/>
      <c r="I100" s="109"/>
      <c r="J100" s="109"/>
      <c r="K100" s="109"/>
      <c r="L100" s="65"/>
      <c r="M100" s="65"/>
    </row>
    <row r="101" spans="1:13" s="408" customFormat="1" ht="37.5" x14ac:dyDescent="0.25">
      <c r="A101" s="457"/>
      <c r="B101" s="80" t="s">
        <v>637</v>
      </c>
      <c r="C101" s="441">
        <v>5455</v>
      </c>
      <c r="D101" s="441"/>
      <c r="E101" s="534">
        <v>5455</v>
      </c>
      <c r="F101" s="441">
        <v>0</v>
      </c>
      <c r="G101" s="441"/>
      <c r="H101" s="441">
        <v>0</v>
      </c>
      <c r="I101" s="441">
        <v>0</v>
      </c>
      <c r="J101" s="441"/>
      <c r="K101" s="441">
        <v>0</v>
      </c>
      <c r="L101" s="407"/>
      <c r="M101" s="407"/>
    </row>
    <row r="102" spans="1:13" ht="18.75" x14ac:dyDescent="0.25">
      <c r="A102" s="97" t="s">
        <v>765</v>
      </c>
      <c r="B102" s="78" t="s">
        <v>766</v>
      </c>
      <c r="C102" s="109">
        <f>C104+C105</f>
        <v>2356.2000000000003</v>
      </c>
      <c r="D102" s="109">
        <f>D105</f>
        <v>0</v>
      </c>
      <c r="E102" s="535">
        <f>E104+E105</f>
        <v>2356.2000000000003</v>
      </c>
      <c r="F102" s="109">
        <f>F104</f>
        <v>0</v>
      </c>
      <c r="G102" s="109"/>
      <c r="H102" s="109">
        <f>H104</f>
        <v>0</v>
      </c>
      <c r="I102" s="109">
        <f>I104</f>
        <v>0</v>
      </c>
      <c r="J102" s="109"/>
      <c r="K102" s="109">
        <f>K104</f>
        <v>0</v>
      </c>
      <c r="L102" s="66"/>
      <c r="M102" s="66"/>
    </row>
    <row r="103" spans="1:13" ht="18.75" x14ac:dyDescent="0.25">
      <c r="A103" s="97"/>
      <c r="B103" s="80" t="s">
        <v>1</v>
      </c>
      <c r="C103" s="109"/>
      <c r="D103" s="109"/>
      <c r="E103" s="109"/>
      <c r="F103" s="109"/>
      <c r="G103" s="109"/>
      <c r="H103" s="109"/>
      <c r="I103" s="109"/>
      <c r="J103" s="109"/>
      <c r="K103" s="109"/>
      <c r="L103" s="66"/>
      <c r="M103" s="66"/>
    </row>
    <row r="104" spans="1:13" s="408" customFormat="1" ht="31.5" x14ac:dyDescent="0.25">
      <c r="A104" s="457"/>
      <c r="B104" s="356" t="s">
        <v>767</v>
      </c>
      <c r="C104" s="117">
        <v>22.4</v>
      </c>
      <c r="D104" s="117"/>
      <c r="E104" s="522">
        <v>22.4</v>
      </c>
      <c r="F104" s="117">
        <v>0</v>
      </c>
      <c r="G104" s="117"/>
      <c r="H104" s="117">
        <v>0</v>
      </c>
      <c r="I104" s="117">
        <v>0</v>
      </c>
      <c r="J104" s="117"/>
      <c r="K104" s="117">
        <v>0</v>
      </c>
      <c r="L104" s="407" t="s">
        <v>1001</v>
      </c>
      <c r="M104" s="407"/>
    </row>
    <row r="105" spans="1:13" s="408" customFormat="1" ht="47.25" x14ac:dyDescent="0.25">
      <c r="A105" s="460"/>
      <c r="B105" s="356" t="s">
        <v>1195</v>
      </c>
      <c r="C105" s="117">
        <v>2333.8000000000002</v>
      </c>
      <c r="D105" s="117"/>
      <c r="E105" s="522">
        <v>2333.8000000000002</v>
      </c>
      <c r="F105" s="117"/>
      <c r="G105" s="117"/>
      <c r="H105" s="117">
        <v>0</v>
      </c>
      <c r="I105" s="117"/>
      <c r="J105" s="117"/>
      <c r="K105" s="117">
        <v>0</v>
      </c>
      <c r="L105" s="407"/>
      <c r="M105" s="407"/>
    </row>
    <row r="106" spans="1:13" ht="37.5" x14ac:dyDescent="0.3">
      <c r="A106" s="95" t="s">
        <v>638</v>
      </c>
      <c r="B106" s="77" t="s">
        <v>639</v>
      </c>
      <c r="C106" s="523">
        <f>C142+C131+C107+C108+C137+C110+C116+C119+C135+C126+C124</f>
        <v>161476.30000000002</v>
      </c>
      <c r="D106" s="523">
        <f>D142+D131+D107+D108+D137+D110+D116+D119+D135+D126+D124</f>
        <v>-4845.1920000000018</v>
      </c>
      <c r="E106" s="523">
        <f>E142+E131+E107+E108+E137+E110+E116+E119+E135+E126+E124</f>
        <v>156631.10800000001</v>
      </c>
      <c r="F106" s="96">
        <f t="shared" ref="F106:K106" si="12">F142+F131+F107+F108+F137+F110+F116</f>
        <v>98855.7</v>
      </c>
      <c r="G106" s="96">
        <f t="shared" si="12"/>
        <v>0</v>
      </c>
      <c r="H106" s="96">
        <f t="shared" si="12"/>
        <v>98855.7</v>
      </c>
      <c r="I106" s="96">
        <f t="shared" si="12"/>
        <v>46148.600000000006</v>
      </c>
      <c r="J106" s="96">
        <f t="shared" si="12"/>
        <v>0</v>
      </c>
      <c r="K106" s="96">
        <f t="shared" si="12"/>
        <v>46148.600000000006</v>
      </c>
      <c r="L106" s="58"/>
      <c r="M106" s="58"/>
    </row>
    <row r="107" spans="1:13" ht="56.25" x14ac:dyDescent="0.3">
      <c r="A107" s="110" t="s">
        <v>640</v>
      </c>
      <c r="B107" s="81" t="s">
        <v>641</v>
      </c>
      <c r="C107" s="111"/>
      <c r="D107" s="524"/>
      <c r="E107" s="524"/>
      <c r="F107" s="111"/>
      <c r="G107" s="111"/>
      <c r="H107" s="111"/>
      <c r="I107" s="111"/>
      <c r="J107" s="111"/>
      <c r="K107" s="111"/>
      <c r="L107" s="67"/>
      <c r="M107" s="67"/>
    </row>
    <row r="108" spans="1:13" s="69" customFormat="1" ht="37.5" x14ac:dyDescent="0.3">
      <c r="A108" s="97" t="s">
        <v>642</v>
      </c>
      <c r="B108" s="82" t="s">
        <v>643</v>
      </c>
      <c r="C108" s="112">
        <f>C109</f>
        <v>0</v>
      </c>
      <c r="D108" s="525"/>
      <c r="E108" s="525">
        <f>E109</f>
        <v>0</v>
      </c>
      <c r="F108" s="112"/>
      <c r="G108" s="112"/>
      <c r="H108" s="112"/>
      <c r="I108" s="112"/>
      <c r="J108" s="112"/>
      <c r="K108" s="112"/>
      <c r="L108" s="68"/>
      <c r="M108" s="68"/>
    </row>
    <row r="109" spans="1:13" ht="37.5" x14ac:dyDescent="0.3">
      <c r="A109" s="99" t="s">
        <v>644</v>
      </c>
      <c r="B109" s="83" t="s">
        <v>645</v>
      </c>
      <c r="C109" s="113"/>
      <c r="D109" s="526"/>
      <c r="E109" s="526"/>
      <c r="F109" s="113"/>
      <c r="G109" s="113"/>
      <c r="H109" s="113"/>
      <c r="I109" s="113"/>
      <c r="J109" s="113"/>
      <c r="K109" s="113"/>
      <c r="L109" s="70"/>
      <c r="M109" s="70"/>
    </row>
    <row r="110" spans="1:13" ht="18.75" x14ac:dyDescent="0.3">
      <c r="A110" s="114" t="s">
        <v>646</v>
      </c>
      <c r="B110" s="84" t="s">
        <v>647</v>
      </c>
      <c r="C110" s="111">
        <f>C111</f>
        <v>0</v>
      </c>
      <c r="D110" s="524"/>
      <c r="E110" s="524">
        <f>E111</f>
        <v>0</v>
      </c>
      <c r="F110" s="111"/>
      <c r="G110" s="111"/>
      <c r="H110" s="111"/>
      <c r="I110" s="111"/>
      <c r="J110" s="111"/>
      <c r="K110" s="111"/>
      <c r="L110" s="67"/>
      <c r="M110" s="67"/>
    </row>
    <row r="111" spans="1:13" ht="37.5" x14ac:dyDescent="0.3">
      <c r="A111" s="115" t="s">
        <v>648</v>
      </c>
      <c r="B111" s="85" t="s">
        <v>649</v>
      </c>
      <c r="C111" s="113"/>
      <c r="D111" s="526"/>
      <c r="E111" s="526"/>
      <c r="F111" s="113"/>
      <c r="G111" s="113"/>
      <c r="H111" s="113"/>
      <c r="I111" s="113"/>
      <c r="J111" s="113"/>
      <c r="K111" s="113"/>
      <c r="L111" s="70"/>
      <c r="M111" s="70"/>
    </row>
    <row r="112" spans="1:13" ht="18.75" x14ac:dyDescent="0.3">
      <c r="A112" s="115"/>
      <c r="B112" s="85" t="s">
        <v>1</v>
      </c>
      <c r="C112" s="113"/>
      <c r="D112" s="526"/>
      <c r="E112" s="526"/>
      <c r="F112" s="113"/>
      <c r="G112" s="113"/>
      <c r="H112" s="113"/>
      <c r="I112" s="113"/>
      <c r="J112" s="113"/>
      <c r="K112" s="113"/>
      <c r="L112" s="70"/>
      <c r="M112" s="70"/>
    </row>
    <row r="113" spans="1:13" ht="31.5" x14ac:dyDescent="0.3">
      <c r="A113" s="115"/>
      <c r="B113" s="76" t="s">
        <v>650</v>
      </c>
      <c r="C113" s="113"/>
      <c r="D113" s="526"/>
      <c r="E113" s="526"/>
      <c r="F113" s="113"/>
      <c r="G113" s="113"/>
      <c r="H113" s="113"/>
      <c r="I113" s="113"/>
      <c r="J113" s="113"/>
      <c r="K113" s="113"/>
      <c r="L113" s="70"/>
      <c r="M113" s="70"/>
    </row>
    <row r="114" spans="1:13" ht="18.75" x14ac:dyDescent="0.3">
      <c r="A114" s="99"/>
      <c r="B114" s="76" t="s">
        <v>651</v>
      </c>
      <c r="C114" s="113"/>
      <c r="D114" s="526"/>
      <c r="E114" s="526"/>
      <c r="F114" s="113"/>
      <c r="G114" s="113"/>
      <c r="H114" s="113"/>
      <c r="I114" s="113"/>
      <c r="J114" s="113"/>
      <c r="K114" s="113"/>
      <c r="L114" s="70"/>
      <c r="M114" s="70"/>
    </row>
    <row r="115" spans="1:13" ht="31.5" x14ac:dyDescent="0.3">
      <c r="A115" s="358" t="s">
        <v>1033</v>
      </c>
      <c r="B115" s="135" t="s">
        <v>1034</v>
      </c>
      <c r="C115" s="524">
        <f>C116</f>
        <v>58328.1</v>
      </c>
      <c r="D115" s="524">
        <f>D116</f>
        <v>-5.3999999999999999E-2</v>
      </c>
      <c r="E115" s="524">
        <f>E116</f>
        <v>58328.045999999995</v>
      </c>
      <c r="F115" s="111">
        <f t="shared" ref="F115:K116" si="13">F116</f>
        <v>58338.9</v>
      </c>
      <c r="G115" s="111">
        <f t="shared" si="13"/>
        <v>0</v>
      </c>
      <c r="H115" s="111">
        <f t="shared" si="13"/>
        <v>58338.9</v>
      </c>
      <c r="I115" s="111">
        <f t="shared" si="13"/>
        <v>10359.5</v>
      </c>
      <c r="J115" s="111">
        <f t="shared" si="13"/>
        <v>0</v>
      </c>
      <c r="K115" s="111">
        <f t="shared" si="13"/>
        <v>10359.5</v>
      </c>
      <c r="L115" s="70"/>
      <c r="M115" s="70"/>
    </row>
    <row r="116" spans="1:13" ht="31.5" x14ac:dyDescent="0.3">
      <c r="A116" s="102" t="s">
        <v>996</v>
      </c>
      <c r="B116" s="127" t="s">
        <v>995</v>
      </c>
      <c r="C116" s="104">
        <f>C117+C118</f>
        <v>58328.1</v>
      </c>
      <c r="D116" s="527">
        <f>D117+D118</f>
        <v>-5.3999999999999999E-2</v>
      </c>
      <c r="E116" s="527">
        <f>E117+E118</f>
        <v>58328.045999999995</v>
      </c>
      <c r="F116" s="104">
        <f t="shared" si="13"/>
        <v>58338.9</v>
      </c>
      <c r="G116" s="104">
        <f t="shared" si="13"/>
        <v>0</v>
      </c>
      <c r="H116" s="104">
        <f t="shared" si="13"/>
        <v>58338.9</v>
      </c>
      <c r="I116" s="104">
        <f t="shared" si="13"/>
        <v>10359.5</v>
      </c>
      <c r="J116" s="104">
        <f t="shared" si="13"/>
        <v>0</v>
      </c>
      <c r="K116" s="104">
        <f t="shared" si="13"/>
        <v>10359.5</v>
      </c>
      <c r="L116" s="62"/>
      <c r="M116" s="62"/>
    </row>
    <row r="117" spans="1:13" ht="78.75" x14ac:dyDescent="0.3">
      <c r="A117" s="102"/>
      <c r="B117" s="127" t="s">
        <v>997</v>
      </c>
      <c r="C117" s="104">
        <v>57131.1</v>
      </c>
      <c r="D117" s="527">
        <v>-0.04</v>
      </c>
      <c r="E117" s="527">
        <f>SUM(C117:D117)</f>
        <v>57131.06</v>
      </c>
      <c r="F117" s="104">
        <v>58338.9</v>
      </c>
      <c r="G117" s="104"/>
      <c r="H117" s="104">
        <f>SUM(F117:G117)</f>
        <v>58338.9</v>
      </c>
      <c r="I117" s="104">
        <v>10359.5</v>
      </c>
      <c r="J117" s="104"/>
      <c r="K117" s="104">
        <f>SUM(I117:J117)</f>
        <v>10359.5</v>
      </c>
      <c r="L117" s="62" t="s">
        <v>1001</v>
      </c>
      <c r="M117" s="62"/>
    </row>
    <row r="118" spans="1:13" ht="31.5" x14ac:dyDescent="0.3">
      <c r="A118" s="102"/>
      <c r="B118" s="403" t="s">
        <v>1076</v>
      </c>
      <c r="C118" s="104">
        <v>1197</v>
      </c>
      <c r="D118" s="527">
        <v>-1.4E-2</v>
      </c>
      <c r="E118" s="527">
        <f>SUM(C118:D118)</f>
        <v>1196.9860000000001</v>
      </c>
      <c r="F118" s="104"/>
      <c r="G118" s="104"/>
      <c r="H118" s="104">
        <v>0</v>
      </c>
      <c r="I118" s="104"/>
      <c r="J118" s="104"/>
      <c r="K118" s="104">
        <v>0</v>
      </c>
      <c r="L118" s="62"/>
      <c r="M118" s="62"/>
    </row>
    <row r="119" spans="1:13" s="69" customFormat="1" ht="47.25" x14ac:dyDescent="0.3">
      <c r="A119" s="358" t="s">
        <v>1043</v>
      </c>
      <c r="B119" s="406" t="s">
        <v>1044</v>
      </c>
      <c r="C119" s="524">
        <f>C122+C123</f>
        <v>2118.3000000000002</v>
      </c>
      <c r="D119" s="524">
        <f>D122+D123</f>
        <v>5.1999999999999602E-2</v>
      </c>
      <c r="E119" s="524">
        <f>E122+E123</f>
        <v>2118.3519999999999</v>
      </c>
      <c r="F119" s="111"/>
      <c r="G119" s="111"/>
      <c r="H119" s="111">
        <v>0</v>
      </c>
      <c r="I119" s="111"/>
      <c r="J119" s="111"/>
      <c r="K119" s="111">
        <v>0</v>
      </c>
      <c r="L119" s="67"/>
      <c r="M119" s="67"/>
    </row>
    <row r="120" spans="1:13" s="69" customFormat="1" ht="47.25" x14ac:dyDescent="0.3">
      <c r="A120" s="102" t="s">
        <v>1039</v>
      </c>
      <c r="B120" s="403" t="s">
        <v>1040</v>
      </c>
      <c r="C120" s="527">
        <f>C122+C123</f>
        <v>2118.3000000000002</v>
      </c>
      <c r="D120" s="527">
        <f>D122+D123</f>
        <v>5.1999999999999602E-2</v>
      </c>
      <c r="E120" s="527">
        <f>E122+E123</f>
        <v>2118.3519999999999</v>
      </c>
      <c r="F120" s="111"/>
      <c r="G120" s="111"/>
      <c r="H120" s="111">
        <v>0</v>
      </c>
      <c r="I120" s="111"/>
      <c r="J120" s="111"/>
      <c r="K120" s="111">
        <v>0</v>
      </c>
      <c r="L120" s="67"/>
      <c r="M120" s="67"/>
    </row>
    <row r="121" spans="1:13" ht="18.75" x14ac:dyDescent="0.3">
      <c r="A121" s="402"/>
      <c r="B121" s="400" t="s">
        <v>1</v>
      </c>
      <c r="C121" s="104"/>
      <c r="D121" s="527"/>
      <c r="E121" s="527"/>
      <c r="F121" s="104"/>
      <c r="G121" s="104"/>
      <c r="H121" s="104"/>
      <c r="I121" s="104"/>
      <c r="J121" s="104"/>
      <c r="K121" s="104"/>
      <c r="L121" s="62"/>
      <c r="M121" s="62"/>
    </row>
    <row r="122" spans="1:13" s="408" customFormat="1" ht="31.5" x14ac:dyDescent="0.25">
      <c r="A122" s="409"/>
      <c r="B122" s="410" t="s">
        <v>1041</v>
      </c>
      <c r="C122" s="386">
        <v>1584.1</v>
      </c>
      <c r="D122" s="528">
        <v>13.728999999999999</v>
      </c>
      <c r="E122" s="528">
        <f>SUM(C122:D122)</f>
        <v>1597.829</v>
      </c>
      <c r="F122" s="386"/>
      <c r="G122" s="386"/>
      <c r="H122" s="386">
        <v>0</v>
      </c>
      <c r="I122" s="386"/>
      <c r="J122" s="386"/>
      <c r="K122" s="386">
        <v>0</v>
      </c>
      <c r="L122" s="411"/>
      <c r="M122" s="411"/>
    </row>
    <row r="123" spans="1:13" ht="47.25" x14ac:dyDescent="0.3">
      <c r="A123" s="402"/>
      <c r="B123" s="403" t="s">
        <v>1042</v>
      </c>
      <c r="C123" s="104">
        <v>534.20000000000005</v>
      </c>
      <c r="D123" s="527">
        <v>-13.677</v>
      </c>
      <c r="E123" s="527">
        <f>SUM(C123:D123)</f>
        <v>520.52300000000002</v>
      </c>
      <c r="F123" s="104"/>
      <c r="G123" s="104"/>
      <c r="H123" s="104">
        <v>0</v>
      </c>
      <c r="I123" s="104"/>
      <c r="J123" s="104"/>
      <c r="K123" s="104">
        <v>0</v>
      </c>
      <c r="L123" s="62"/>
      <c r="M123" s="62"/>
    </row>
    <row r="124" spans="1:13" ht="18.75" x14ac:dyDescent="0.3">
      <c r="A124" s="358" t="s">
        <v>1093</v>
      </c>
      <c r="B124" s="398" t="s">
        <v>1095</v>
      </c>
      <c r="C124" s="545">
        <f>C125</f>
        <v>91</v>
      </c>
      <c r="D124" s="524">
        <f>D125</f>
        <v>3.5000000000000003E-2</v>
      </c>
      <c r="E124" s="524">
        <f>E125</f>
        <v>91.034999999999997</v>
      </c>
      <c r="F124" s="104"/>
      <c r="G124" s="104"/>
      <c r="H124" s="104">
        <v>0</v>
      </c>
      <c r="I124" s="104"/>
      <c r="J124" s="104"/>
      <c r="K124" s="104">
        <v>0</v>
      </c>
      <c r="L124" s="62"/>
      <c r="M124" s="62"/>
    </row>
    <row r="125" spans="1:13" ht="37.5" x14ac:dyDescent="0.3">
      <c r="A125" s="102" t="s">
        <v>1094</v>
      </c>
      <c r="B125" s="400" t="s">
        <v>1096</v>
      </c>
      <c r="C125" s="104">
        <v>91</v>
      </c>
      <c r="D125" s="527">
        <v>3.5000000000000003E-2</v>
      </c>
      <c r="E125" s="527">
        <f>SUM(C125:D125)</f>
        <v>91.034999999999997</v>
      </c>
      <c r="F125" s="104"/>
      <c r="G125" s="104"/>
      <c r="H125" s="104">
        <v>0</v>
      </c>
      <c r="I125" s="104"/>
      <c r="J125" s="104"/>
      <c r="K125" s="104">
        <v>0</v>
      </c>
      <c r="L125" s="62"/>
      <c r="M125" s="62"/>
    </row>
    <row r="126" spans="1:13" ht="18.75" x14ac:dyDescent="0.3">
      <c r="A126" s="397" t="s">
        <v>646</v>
      </c>
      <c r="B126" s="398" t="s">
        <v>647</v>
      </c>
      <c r="C126" s="524">
        <f>C127</f>
        <v>4943.5</v>
      </c>
      <c r="D126" s="524">
        <f>D127</f>
        <v>2.5999999999999999E-2</v>
      </c>
      <c r="E126" s="524">
        <f>E127</f>
        <v>4943.5259999999998</v>
      </c>
      <c r="F126" s="104"/>
      <c r="G126" s="104"/>
      <c r="H126" s="111">
        <v>0</v>
      </c>
      <c r="I126" s="111"/>
      <c r="J126" s="111"/>
      <c r="K126" s="111">
        <v>0</v>
      </c>
      <c r="L126" s="62"/>
      <c r="M126" s="62"/>
    </row>
    <row r="127" spans="1:13" ht="37.5" x14ac:dyDescent="0.3">
      <c r="A127" s="399" t="s">
        <v>648</v>
      </c>
      <c r="B127" s="400" t="s">
        <v>649</v>
      </c>
      <c r="C127" s="104">
        <f>C129+C130</f>
        <v>4943.5</v>
      </c>
      <c r="D127" s="527">
        <f>D129</f>
        <v>2.5999999999999999E-2</v>
      </c>
      <c r="E127" s="527">
        <f>E129+E130</f>
        <v>4943.5259999999998</v>
      </c>
      <c r="F127" s="104"/>
      <c r="G127" s="104"/>
      <c r="H127" s="104">
        <v>0</v>
      </c>
      <c r="I127" s="104"/>
      <c r="J127" s="104"/>
      <c r="K127" s="104">
        <v>0</v>
      </c>
      <c r="L127" s="62"/>
      <c r="M127" s="62"/>
    </row>
    <row r="128" spans="1:13" ht="18.75" x14ac:dyDescent="0.3">
      <c r="A128" s="399"/>
      <c r="B128" s="400" t="s">
        <v>1</v>
      </c>
      <c r="C128" s="104"/>
      <c r="D128" s="527"/>
      <c r="E128" s="527"/>
      <c r="F128" s="104"/>
      <c r="G128" s="104"/>
      <c r="H128" s="104"/>
      <c r="I128" s="104"/>
      <c r="J128" s="104"/>
      <c r="K128" s="104"/>
      <c r="L128" s="62"/>
      <c r="M128" s="62"/>
    </row>
    <row r="129" spans="1:13" ht="31.5" x14ac:dyDescent="0.3">
      <c r="A129" s="399"/>
      <c r="B129" s="401" t="s">
        <v>650</v>
      </c>
      <c r="C129" s="104">
        <v>210.5</v>
      </c>
      <c r="D129" s="527">
        <v>2.5999999999999999E-2</v>
      </c>
      <c r="E129" s="527">
        <f>SUM(C129:D129)</f>
        <v>210.52600000000001</v>
      </c>
      <c r="F129" s="104"/>
      <c r="G129" s="104"/>
      <c r="H129" s="104">
        <v>0</v>
      </c>
      <c r="I129" s="104"/>
      <c r="J129" s="104"/>
      <c r="K129" s="104">
        <v>0</v>
      </c>
      <c r="L129" s="62"/>
      <c r="M129" s="62"/>
    </row>
    <row r="130" spans="1:13" ht="31.5" x14ac:dyDescent="0.3">
      <c r="A130" s="420"/>
      <c r="B130" s="403" t="s">
        <v>1005</v>
      </c>
      <c r="C130" s="104">
        <v>4733</v>
      </c>
      <c r="D130" s="528"/>
      <c r="E130" s="527">
        <v>4733</v>
      </c>
      <c r="F130" s="104"/>
      <c r="G130" s="104"/>
      <c r="H130" s="104">
        <v>0</v>
      </c>
      <c r="I130" s="104"/>
      <c r="J130" s="104"/>
      <c r="K130" s="104">
        <v>0</v>
      </c>
      <c r="L130" s="62"/>
      <c r="M130" s="62"/>
    </row>
    <row r="131" spans="1:13" ht="37.5" x14ac:dyDescent="0.3">
      <c r="A131" s="114" t="s">
        <v>652</v>
      </c>
      <c r="B131" s="84" t="s">
        <v>653</v>
      </c>
      <c r="C131" s="525">
        <f>C132</f>
        <v>8071.9</v>
      </c>
      <c r="D131" s="525">
        <f>D132</f>
        <v>-7.9000000000000001E-2</v>
      </c>
      <c r="E131" s="525">
        <f>E132</f>
        <v>8071.8209999999999</v>
      </c>
      <c r="F131" s="112">
        <f>F132</f>
        <v>8312</v>
      </c>
      <c r="G131" s="112"/>
      <c r="H131" s="112">
        <f>H132</f>
        <v>8312</v>
      </c>
      <c r="I131" s="112">
        <f>I132</f>
        <v>8942.6</v>
      </c>
      <c r="J131" s="112"/>
      <c r="K131" s="112">
        <f>K132</f>
        <v>8942.6</v>
      </c>
      <c r="L131" s="68"/>
      <c r="M131" s="68"/>
    </row>
    <row r="132" spans="1:13" ht="31.5" x14ac:dyDescent="0.25">
      <c r="A132" s="115" t="s">
        <v>654</v>
      </c>
      <c r="B132" s="116" t="s">
        <v>655</v>
      </c>
      <c r="C132" s="441">
        <f>C133+C134</f>
        <v>8071.9</v>
      </c>
      <c r="D132" s="534">
        <f>D133+D134</f>
        <v>-7.9000000000000001E-2</v>
      </c>
      <c r="E132" s="534">
        <f>E133+E134</f>
        <v>8071.8209999999999</v>
      </c>
      <c r="F132" s="117">
        <f>F133+F134</f>
        <v>8312</v>
      </c>
      <c r="G132" s="117"/>
      <c r="H132" s="117">
        <f>H133+H134</f>
        <v>8312</v>
      </c>
      <c r="I132" s="117">
        <f>I133+I134</f>
        <v>8942.6</v>
      </c>
      <c r="J132" s="117"/>
      <c r="K132" s="117">
        <f>K133+K134</f>
        <v>8942.6</v>
      </c>
      <c r="L132" s="71"/>
      <c r="M132" s="71"/>
    </row>
    <row r="133" spans="1:13" ht="18.75" x14ac:dyDescent="0.25">
      <c r="A133" s="115"/>
      <c r="B133" s="116" t="s">
        <v>773</v>
      </c>
      <c r="C133" s="441">
        <v>5974.8</v>
      </c>
      <c r="D133" s="534">
        <v>-2.9000000000000001E-2</v>
      </c>
      <c r="E133" s="534">
        <f>SUM(C133:D133)</f>
        <v>5974.7709999999997</v>
      </c>
      <c r="F133" s="117">
        <v>5974.8</v>
      </c>
      <c r="G133" s="117"/>
      <c r="H133" s="117">
        <v>5974.8</v>
      </c>
      <c r="I133" s="117">
        <v>6638.6</v>
      </c>
      <c r="J133" s="117"/>
      <c r="K133" s="117">
        <v>6638.6</v>
      </c>
      <c r="L133" s="71" t="s">
        <v>1001</v>
      </c>
      <c r="M133" s="71"/>
    </row>
    <row r="134" spans="1:13" ht="18.75" x14ac:dyDescent="0.25">
      <c r="A134" s="115"/>
      <c r="B134" s="116" t="s">
        <v>768</v>
      </c>
      <c r="C134" s="441">
        <v>2097.1</v>
      </c>
      <c r="D134" s="534">
        <v>-0.05</v>
      </c>
      <c r="E134" s="534">
        <f>SUM(C134:D134)</f>
        <v>2097.0499999999997</v>
      </c>
      <c r="F134" s="117">
        <v>2337.1999999999998</v>
      </c>
      <c r="G134" s="117"/>
      <c r="H134" s="117">
        <v>2337.1999999999998</v>
      </c>
      <c r="I134" s="117">
        <v>2304</v>
      </c>
      <c r="J134" s="117"/>
      <c r="K134" s="117">
        <v>2304</v>
      </c>
      <c r="L134" s="71" t="s">
        <v>1001</v>
      </c>
      <c r="M134" s="71"/>
    </row>
    <row r="135" spans="1:13" s="69" customFormat="1" ht="37.5" x14ac:dyDescent="0.3">
      <c r="A135" s="393" t="s">
        <v>642</v>
      </c>
      <c r="B135" s="394" t="s">
        <v>643</v>
      </c>
      <c r="C135" s="535">
        <f>C136</f>
        <v>3437.1</v>
      </c>
      <c r="D135" s="535">
        <f>D136</f>
        <v>-255.95</v>
      </c>
      <c r="E135" s="535">
        <f>E136</f>
        <v>3181.15</v>
      </c>
      <c r="F135" s="404"/>
      <c r="G135" s="404"/>
      <c r="H135" s="404">
        <v>0</v>
      </c>
      <c r="I135" s="404"/>
      <c r="J135" s="404"/>
      <c r="K135" s="404">
        <v>0</v>
      </c>
      <c r="L135" s="405"/>
      <c r="M135" s="405"/>
    </row>
    <row r="136" spans="1:13" ht="37.5" x14ac:dyDescent="0.3">
      <c r="A136" s="395" t="s">
        <v>644</v>
      </c>
      <c r="B136" s="396" t="s">
        <v>645</v>
      </c>
      <c r="C136" s="441">
        <v>3437.1</v>
      </c>
      <c r="D136" s="534">
        <v>-255.95</v>
      </c>
      <c r="E136" s="534">
        <f>SUM(C136:D136)</f>
        <v>3181.15</v>
      </c>
      <c r="F136" s="117"/>
      <c r="G136" s="117"/>
      <c r="H136" s="117">
        <v>0</v>
      </c>
      <c r="I136" s="117"/>
      <c r="J136" s="117"/>
      <c r="K136" s="117">
        <v>0</v>
      </c>
      <c r="L136" s="71"/>
      <c r="M136" s="71"/>
    </row>
    <row r="137" spans="1:13" s="69" customFormat="1" ht="37.5" x14ac:dyDescent="0.3">
      <c r="A137" s="97" t="s">
        <v>656</v>
      </c>
      <c r="B137" s="82" t="s">
        <v>657</v>
      </c>
      <c r="C137" s="525">
        <f>SUM(C138)</f>
        <v>2711.8</v>
      </c>
      <c r="D137" s="525">
        <f>SUM(D138)</f>
        <v>-4.4000000000000004E-2</v>
      </c>
      <c r="E137" s="525">
        <f>SUM(E138)</f>
        <v>2711.7559999999999</v>
      </c>
      <c r="F137" s="112">
        <f>SUM(F138)</f>
        <v>804.1</v>
      </c>
      <c r="G137" s="112"/>
      <c r="H137" s="112">
        <f>SUM(H138)</f>
        <v>804.1</v>
      </c>
      <c r="I137" s="112">
        <f>SUM(I138)</f>
        <v>869.3</v>
      </c>
      <c r="J137" s="112"/>
      <c r="K137" s="112">
        <f>SUM(K138)</f>
        <v>869.3</v>
      </c>
      <c r="L137" s="68"/>
      <c r="M137" s="68"/>
    </row>
    <row r="138" spans="1:13" ht="32.25" x14ac:dyDescent="0.3">
      <c r="A138" s="99" t="s">
        <v>658</v>
      </c>
      <c r="B138" s="118" t="s">
        <v>659</v>
      </c>
      <c r="C138" s="113">
        <f>SUM(C140:C141)</f>
        <v>2711.8</v>
      </c>
      <c r="D138" s="526">
        <f>SUM(D140:D141)</f>
        <v>-4.4000000000000004E-2</v>
      </c>
      <c r="E138" s="526">
        <f>SUM(E140:E141)</f>
        <v>2711.7559999999999</v>
      </c>
      <c r="F138" s="119">
        <f>SUM(F140:F141)</f>
        <v>804.1</v>
      </c>
      <c r="G138" s="119"/>
      <c r="H138" s="119">
        <f>SUM(H140:H141)</f>
        <v>804.1</v>
      </c>
      <c r="I138" s="119">
        <f>SUM(I140:I141)</f>
        <v>869.3</v>
      </c>
      <c r="J138" s="119"/>
      <c r="K138" s="119">
        <f>SUM(K140:K141)</f>
        <v>869.3</v>
      </c>
      <c r="L138" s="70"/>
      <c r="M138" s="70"/>
    </row>
    <row r="139" spans="1:13" ht="18.75" x14ac:dyDescent="0.3">
      <c r="A139" s="99"/>
      <c r="B139" s="118" t="s">
        <v>1</v>
      </c>
      <c r="C139" s="113"/>
      <c r="D139" s="526"/>
      <c r="E139" s="526"/>
      <c r="F139" s="119"/>
      <c r="G139" s="119"/>
      <c r="H139" s="119"/>
      <c r="I139" s="119"/>
      <c r="J139" s="119"/>
      <c r="K139" s="119"/>
      <c r="L139" s="70"/>
      <c r="M139" s="70"/>
    </row>
    <row r="140" spans="1:13" ht="63" x14ac:dyDescent="0.3">
      <c r="A140" s="99"/>
      <c r="B140" s="120" t="s">
        <v>660</v>
      </c>
      <c r="C140" s="113">
        <v>1929.6</v>
      </c>
      <c r="D140" s="526">
        <v>-3.0000000000000001E-3</v>
      </c>
      <c r="E140" s="534">
        <f>SUM(C140:D140)</f>
        <v>1929.597</v>
      </c>
      <c r="F140" s="119">
        <v>0</v>
      </c>
      <c r="G140" s="119"/>
      <c r="H140" s="119">
        <v>0</v>
      </c>
      <c r="I140" s="119">
        <v>0</v>
      </c>
      <c r="J140" s="119"/>
      <c r="K140" s="119">
        <v>0</v>
      </c>
      <c r="L140" s="70" t="s">
        <v>1001</v>
      </c>
      <c r="M140" s="70"/>
    </row>
    <row r="141" spans="1:13" ht="47.25" x14ac:dyDescent="0.25">
      <c r="A141" s="99"/>
      <c r="B141" s="118" t="s">
        <v>661</v>
      </c>
      <c r="C141" s="441">
        <v>782.2</v>
      </c>
      <c r="D141" s="534">
        <v>-4.1000000000000002E-2</v>
      </c>
      <c r="E141" s="534">
        <f>SUM(C141:D141)</f>
        <v>782.15899999999999</v>
      </c>
      <c r="F141" s="117">
        <v>804.1</v>
      </c>
      <c r="G141" s="117"/>
      <c r="H141" s="117">
        <v>804.1</v>
      </c>
      <c r="I141" s="117">
        <v>869.3</v>
      </c>
      <c r="J141" s="117"/>
      <c r="K141" s="117">
        <v>869.3</v>
      </c>
      <c r="L141" s="71" t="s">
        <v>1001</v>
      </c>
      <c r="M141" s="71"/>
    </row>
    <row r="142" spans="1:13" ht="18.75" x14ac:dyDescent="0.3">
      <c r="A142" s="121" t="s">
        <v>662</v>
      </c>
      <c r="B142" s="122" t="s">
        <v>663</v>
      </c>
      <c r="C142" s="524">
        <f>SUM(C144:C168)</f>
        <v>81774.60000000002</v>
      </c>
      <c r="D142" s="524">
        <f>SUM(D144:D168)</f>
        <v>-4589.1780000000017</v>
      </c>
      <c r="E142" s="524">
        <f>SUM(E144:E168)</f>
        <v>77185.422000000006</v>
      </c>
      <c r="F142" s="111">
        <f>SUM(F144:F163)</f>
        <v>31400.699999999997</v>
      </c>
      <c r="G142" s="111">
        <f>SUM(G144:G163)</f>
        <v>0</v>
      </c>
      <c r="H142" s="111">
        <f>SUM(H144:H163)</f>
        <v>31400.699999999997</v>
      </c>
      <c r="I142" s="111">
        <f>SUM(I144:I155)</f>
        <v>25977.200000000001</v>
      </c>
      <c r="J142" s="111">
        <f>SUM(J144:J155)</f>
        <v>0</v>
      </c>
      <c r="K142" s="111">
        <f>SUM(K144:K155)</f>
        <v>25977.200000000001</v>
      </c>
      <c r="L142" s="67"/>
      <c r="M142" s="67"/>
    </row>
    <row r="143" spans="1:13" ht="18.75" x14ac:dyDescent="0.3">
      <c r="A143" s="123"/>
      <c r="B143" s="124" t="s">
        <v>1</v>
      </c>
      <c r="C143" s="113"/>
      <c r="D143" s="526"/>
      <c r="E143" s="526"/>
      <c r="F143" s="113"/>
      <c r="G143" s="113"/>
      <c r="H143" s="113"/>
      <c r="I143" s="113"/>
      <c r="J143" s="113"/>
      <c r="K143" s="113"/>
      <c r="L143" s="70"/>
      <c r="M143" s="70"/>
    </row>
    <row r="144" spans="1:13" ht="126" x14ac:dyDescent="0.25">
      <c r="A144" s="123"/>
      <c r="B144" s="76" t="s">
        <v>664</v>
      </c>
      <c r="C144" s="117">
        <v>4100.2</v>
      </c>
      <c r="D144" s="522"/>
      <c r="E144" s="522">
        <v>4100.2</v>
      </c>
      <c r="F144" s="117">
        <v>4100.2</v>
      </c>
      <c r="G144" s="117"/>
      <c r="H144" s="117">
        <v>4100.2</v>
      </c>
      <c r="I144" s="117">
        <v>4100.2</v>
      </c>
      <c r="J144" s="117"/>
      <c r="K144" s="117">
        <v>4100.2</v>
      </c>
      <c r="L144" s="71" t="s">
        <v>1001</v>
      </c>
      <c r="M144" s="71"/>
    </row>
    <row r="145" spans="1:13" ht="56.25" x14ac:dyDescent="0.25">
      <c r="A145" s="123"/>
      <c r="B145" s="124" t="s">
        <v>665</v>
      </c>
      <c r="C145" s="117">
        <v>130.6</v>
      </c>
      <c r="D145" s="522"/>
      <c r="E145" s="522">
        <v>130.6</v>
      </c>
      <c r="F145" s="117">
        <v>130.6</v>
      </c>
      <c r="G145" s="117"/>
      <c r="H145" s="117">
        <v>130.6</v>
      </c>
      <c r="I145" s="117">
        <v>0</v>
      </c>
      <c r="J145" s="117"/>
      <c r="K145" s="117">
        <v>0</v>
      </c>
      <c r="L145" s="71" t="s">
        <v>1001</v>
      </c>
      <c r="M145" s="71"/>
    </row>
    <row r="146" spans="1:13" ht="75" x14ac:dyDescent="0.25">
      <c r="A146" s="75"/>
      <c r="B146" s="72" t="s">
        <v>666</v>
      </c>
      <c r="C146" s="117">
        <v>57770.3</v>
      </c>
      <c r="D146" s="522">
        <v>-4209.0910000000003</v>
      </c>
      <c r="E146" s="522">
        <f>SUM(C146:D146)</f>
        <v>53561.209000000003</v>
      </c>
      <c r="F146" s="117">
        <v>18075.5</v>
      </c>
      <c r="G146" s="117"/>
      <c r="H146" s="117">
        <v>18075.5</v>
      </c>
      <c r="I146" s="117">
        <v>19824</v>
      </c>
      <c r="J146" s="117"/>
      <c r="K146" s="117">
        <v>19824</v>
      </c>
      <c r="L146" s="71" t="s">
        <v>1001</v>
      </c>
      <c r="M146" s="71"/>
    </row>
    <row r="147" spans="1:13" ht="37.5" x14ac:dyDescent="0.3">
      <c r="A147" s="99"/>
      <c r="B147" s="100" t="s">
        <v>667</v>
      </c>
      <c r="C147" s="125">
        <v>1944.4</v>
      </c>
      <c r="D147" s="529">
        <v>-3.7999999999999999E-2</v>
      </c>
      <c r="E147" s="529">
        <f>SUM(C147:D147)</f>
        <v>1944.3620000000001</v>
      </c>
      <c r="F147" s="125"/>
      <c r="G147" s="125"/>
      <c r="H147" s="125">
        <v>0</v>
      </c>
      <c r="I147" s="113"/>
      <c r="J147" s="125"/>
      <c r="K147" s="113">
        <v>0</v>
      </c>
      <c r="L147" s="70"/>
      <c r="M147" s="70"/>
    </row>
    <row r="148" spans="1:13" ht="75" x14ac:dyDescent="0.3">
      <c r="A148" s="99"/>
      <c r="B148" s="83" t="s">
        <v>668</v>
      </c>
      <c r="C148" s="113"/>
      <c r="D148" s="526"/>
      <c r="E148" s="526"/>
      <c r="F148" s="113"/>
      <c r="G148" s="113"/>
      <c r="H148" s="113"/>
      <c r="I148" s="113"/>
      <c r="J148" s="113"/>
      <c r="K148" s="113"/>
      <c r="L148" s="70"/>
      <c r="M148" s="70"/>
    </row>
    <row r="149" spans="1:13" ht="75" x14ac:dyDescent="0.25">
      <c r="A149" s="99"/>
      <c r="B149" s="100" t="s">
        <v>669</v>
      </c>
      <c r="C149" s="117">
        <v>6032.1</v>
      </c>
      <c r="D149" s="522">
        <v>-0.01</v>
      </c>
      <c r="E149" s="522">
        <f>SUM(C149:D149)</f>
        <v>6032.09</v>
      </c>
      <c r="F149" s="117">
        <v>4701.3999999999996</v>
      </c>
      <c r="G149" s="117"/>
      <c r="H149" s="117">
        <f>SUM(F149:G149)</f>
        <v>4701.3999999999996</v>
      </c>
      <c r="I149" s="117">
        <v>1937.7</v>
      </c>
      <c r="J149" s="117"/>
      <c r="K149" s="117">
        <f>SUM(I149:J149)</f>
        <v>1937.7</v>
      </c>
      <c r="L149" s="71" t="s">
        <v>1001</v>
      </c>
      <c r="M149" s="71"/>
    </row>
    <row r="150" spans="1:13" ht="56.25" x14ac:dyDescent="0.3">
      <c r="A150" s="99"/>
      <c r="B150" s="83" t="s">
        <v>670</v>
      </c>
      <c r="C150" s="117">
        <v>115.3</v>
      </c>
      <c r="D150" s="522"/>
      <c r="E150" s="522">
        <v>115.3</v>
      </c>
      <c r="F150" s="117">
        <v>115.3</v>
      </c>
      <c r="G150" s="117"/>
      <c r="H150" s="117">
        <v>115.3</v>
      </c>
      <c r="I150" s="117">
        <v>115.3</v>
      </c>
      <c r="J150" s="117"/>
      <c r="K150" s="117">
        <v>115.3</v>
      </c>
      <c r="L150" s="71" t="s">
        <v>1001</v>
      </c>
      <c r="M150" s="71"/>
    </row>
    <row r="151" spans="1:13" ht="37.5" x14ac:dyDescent="0.3">
      <c r="A151" s="102"/>
      <c r="B151" s="126" t="s">
        <v>671</v>
      </c>
      <c r="C151" s="104"/>
      <c r="D151" s="527"/>
      <c r="E151" s="527"/>
      <c r="F151" s="104"/>
      <c r="G151" s="104"/>
      <c r="H151" s="104"/>
      <c r="I151" s="104"/>
      <c r="J151" s="104"/>
      <c r="K151" s="104"/>
      <c r="L151" s="62"/>
      <c r="M151" s="62"/>
    </row>
    <row r="152" spans="1:13" ht="37.5" x14ac:dyDescent="0.3">
      <c r="A152" s="102"/>
      <c r="B152" s="126" t="s">
        <v>672</v>
      </c>
      <c r="C152" s="104"/>
      <c r="D152" s="527"/>
      <c r="E152" s="527"/>
      <c r="F152" s="104"/>
      <c r="G152" s="104"/>
      <c r="H152" s="104"/>
      <c r="I152" s="104"/>
      <c r="J152" s="104"/>
      <c r="K152" s="104"/>
      <c r="L152" s="62"/>
      <c r="M152" s="62"/>
    </row>
    <row r="153" spans="1:13" ht="37.5" x14ac:dyDescent="0.3">
      <c r="A153" s="102"/>
      <c r="B153" s="126" t="s">
        <v>769</v>
      </c>
      <c r="C153" s="104"/>
      <c r="D153" s="527"/>
      <c r="E153" s="527"/>
      <c r="F153" s="104"/>
      <c r="G153" s="104"/>
      <c r="H153" s="104"/>
      <c r="I153" s="104"/>
      <c r="J153" s="104"/>
      <c r="K153" s="104"/>
      <c r="L153" s="62"/>
      <c r="M153" s="62"/>
    </row>
    <row r="154" spans="1:13" ht="56.25" x14ac:dyDescent="0.3">
      <c r="A154" s="102"/>
      <c r="B154" s="126" t="s">
        <v>673</v>
      </c>
      <c r="C154" s="104">
        <v>0</v>
      </c>
      <c r="D154" s="527"/>
      <c r="E154" s="527">
        <v>0</v>
      </c>
      <c r="F154" s="104">
        <v>1140</v>
      </c>
      <c r="G154" s="104"/>
      <c r="H154" s="104">
        <v>1140</v>
      </c>
      <c r="I154" s="104">
        <v>0</v>
      </c>
      <c r="J154" s="104"/>
      <c r="K154" s="104">
        <v>0</v>
      </c>
      <c r="L154" s="62"/>
      <c r="M154" s="62"/>
    </row>
    <row r="155" spans="1:13" ht="56.25" x14ac:dyDescent="0.3">
      <c r="A155" s="102"/>
      <c r="B155" s="126" t="s">
        <v>674</v>
      </c>
      <c r="C155" s="104">
        <v>380</v>
      </c>
      <c r="D155" s="527">
        <v>-380</v>
      </c>
      <c r="E155" s="527">
        <f>SUM(C155:D155)</f>
        <v>0</v>
      </c>
      <c r="F155" s="104">
        <v>0</v>
      </c>
      <c r="G155" s="104"/>
      <c r="H155" s="104">
        <v>0</v>
      </c>
      <c r="I155" s="104">
        <v>0</v>
      </c>
      <c r="J155" s="104"/>
      <c r="K155" s="104">
        <v>0</v>
      </c>
      <c r="L155" s="62"/>
      <c r="M155" s="62"/>
    </row>
    <row r="156" spans="1:13" ht="56.25" x14ac:dyDescent="0.3">
      <c r="A156" s="102"/>
      <c r="B156" s="126" t="s">
        <v>675</v>
      </c>
      <c r="C156" s="104"/>
      <c r="D156" s="527"/>
      <c r="E156" s="527"/>
      <c r="F156" s="104"/>
      <c r="G156" s="104"/>
      <c r="H156" s="104"/>
      <c r="I156" s="104"/>
      <c r="J156" s="104"/>
      <c r="K156" s="104"/>
      <c r="L156" s="62"/>
      <c r="M156" s="62"/>
    </row>
    <row r="157" spans="1:13" ht="37.5" x14ac:dyDescent="0.3">
      <c r="A157" s="102"/>
      <c r="B157" s="126" t="s">
        <v>676</v>
      </c>
      <c r="C157" s="104"/>
      <c r="D157" s="527"/>
      <c r="E157" s="527"/>
      <c r="F157" s="104"/>
      <c r="G157" s="104"/>
      <c r="H157" s="104"/>
      <c r="I157" s="104"/>
      <c r="J157" s="104"/>
      <c r="K157" s="104"/>
      <c r="L157" s="62"/>
      <c r="M157" s="62"/>
    </row>
    <row r="158" spans="1:13" ht="18.75" x14ac:dyDescent="0.3">
      <c r="A158" s="102"/>
      <c r="B158" s="126" t="s">
        <v>677</v>
      </c>
      <c r="C158" s="104"/>
      <c r="D158" s="527"/>
      <c r="E158" s="527"/>
      <c r="F158" s="104"/>
      <c r="G158" s="104"/>
      <c r="H158" s="104"/>
      <c r="I158" s="104"/>
      <c r="J158" s="104"/>
      <c r="K158" s="104"/>
      <c r="L158" s="62"/>
      <c r="M158" s="62"/>
    </row>
    <row r="159" spans="1:13" ht="37.5" x14ac:dyDescent="0.3">
      <c r="A159" s="102"/>
      <c r="B159" s="126" t="s">
        <v>678</v>
      </c>
      <c r="C159" s="104"/>
      <c r="D159" s="527"/>
      <c r="E159" s="527"/>
      <c r="F159" s="104"/>
      <c r="G159" s="104"/>
      <c r="H159" s="104"/>
      <c r="I159" s="104"/>
      <c r="J159" s="104"/>
      <c r="K159" s="104"/>
      <c r="L159" s="62"/>
      <c r="M159" s="62"/>
    </row>
    <row r="160" spans="1:13" ht="37.5" x14ac:dyDescent="0.3">
      <c r="A160" s="102"/>
      <c r="B160" s="126" t="s">
        <v>994</v>
      </c>
      <c r="C160" s="104">
        <v>2478.4</v>
      </c>
      <c r="D160" s="527">
        <v>-3.6999999999999998E-2</v>
      </c>
      <c r="E160" s="527">
        <f>SUM(C160:D160)</f>
        <v>2478.3630000000003</v>
      </c>
      <c r="F160" s="104">
        <v>2814.4</v>
      </c>
      <c r="G160" s="104"/>
      <c r="H160" s="104">
        <v>2814.4</v>
      </c>
      <c r="I160" s="104">
        <v>0</v>
      </c>
      <c r="J160" s="104"/>
      <c r="K160" s="104">
        <v>0</v>
      </c>
      <c r="L160" s="359" t="s">
        <v>1026</v>
      </c>
      <c r="M160" s="62" t="s">
        <v>1001</v>
      </c>
    </row>
    <row r="161" spans="1:13" ht="56.25" x14ac:dyDescent="0.3">
      <c r="A161" s="102"/>
      <c r="B161" s="126" t="s">
        <v>679</v>
      </c>
      <c r="C161" s="104"/>
      <c r="D161" s="527"/>
      <c r="E161" s="527"/>
      <c r="F161" s="104"/>
      <c r="G161" s="104"/>
      <c r="H161" s="104"/>
      <c r="I161" s="104"/>
      <c r="J161" s="104"/>
      <c r="K161" s="104"/>
      <c r="L161" s="62"/>
      <c r="M161" s="62"/>
    </row>
    <row r="162" spans="1:13" ht="56.25" x14ac:dyDescent="0.3">
      <c r="A162" s="102"/>
      <c r="B162" s="126" t="s">
        <v>680</v>
      </c>
      <c r="C162" s="104">
        <v>321.7</v>
      </c>
      <c r="D162" s="527">
        <v>-3.3000000000000002E-2</v>
      </c>
      <c r="E162" s="527">
        <f>SUM(C162:D162)</f>
        <v>321.66699999999997</v>
      </c>
      <c r="F162" s="104">
        <v>323.3</v>
      </c>
      <c r="G162" s="104"/>
      <c r="H162" s="104">
        <f>SUM(F162:G162)</f>
        <v>323.3</v>
      </c>
      <c r="I162" s="104">
        <v>0</v>
      </c>
      <c r="J162" s="104"/>
      <c r="K162" s="104">
        <v>0</v>
      </c>
      <c r="L162" s="62" t="s">
        <v>1001</v>
      </c>
      <c r="M162" s="62"/>
    </row>
    <row r="163" spans="1:13" ht="37.5" x14ac:dyDescent="0.3">
      <c r="A163" s="102"/>
      <c r="B163" s="126" t="s">
        <v>998</v>
      </c>
      <c r="C163" s="104">
        <v>784.6</v>
      </c>
      <c r="D163" s="527">
        <v>8.0000000000000002E-3</v>
      </c>
      <c r="E163" s="527">
        <f>SUM(C163:D163)</f>
        <v>784.60800000000006</v>
      </c>
      <c r="F163" s="104">
        <v>0</v>
      </c>
      <c r="G163" s="104"/>
      <c r="H163" s="104">
        <v>0</v>
      </c>
      <c r="I163" s="104">
        <v>0</v>
      </c>
      <c r="J163" s="104"/>
      <c r="K163" s="104">
        <v>0</v>
      </c>
      <c r="L163" s="62"/>
      <c r="M163" s="62"/>
    </row>
    <row r="164" spans="1:13" ht="37.5" x14ac:dyDescent="0.3">
      <c r="A164" s="102"/>
      <c r="B164" s="126" t="s">
        <v>671</v>
      </c>
      <c r="C164" s="104">
        <v>4802.8</v>
      </c>
      <c r="D164" s="527">
        <v>2.5000000000000001E-2</v>
      </c>
      <c r="E164" s="527">
        <f>SUM(C164:D164)</f>
        <v>4802.8249999999998</v>
      </c>
      <c r="F164" s="104">
        <v>0</v>
      </c>
      <c r="G164" s="104"/>
      <c r="H164" s="104">
        <v>0</v>
      </c>
      <c r="I164" s="104">
        <v>0</v>
      </c>
      <c r="J164" s="104"/>
      <c r="K164" s="104">
        <v>0</v>
      </c>
      <c r="L164" s="62"/>
      <c r="M164" s="62"/>
    </row>
    <row r="165" spans="1:13" ht="56.25" x14ac:dyDescent="0.3">
      <c r="A165" s="102"/>
      <c r="B165" s="126" t="s">
        <v>1125</v>
      </c>
      <c r="C165" s="104">
        <v>1195.3</v>
      </c>
      <c r="D165" s="527">
        <v>6.8000000000000005E-2</v>
      </c>
      <c r="E165" s="527">
        <f>SUM(C165:D165)</f>
        <v>1195.3679999999999</v>
      </c>
      <c r="F165" s="104"/>
      <c r="G165" s="104"/>
      <c r="H165" s="104">
        <v>0</v>
      </c>
      <c r="I165" s="104"/>
      <c r="J165" s="104"/>
      <c r="K165" s="104">
        <v>0</v>
      </c>
      <c r="L165" s="62"/>
      <c r="M165" s="62"/>
    </row>
    <row r="166" spans="1:13" ht="18.75" x14ac:dyDescent="0.3">
      <c r="A166" s="102"/>
      <c r="B166" s="396" t="s">
        <v>1144</v>
      </c>
      <c r="C166" s="104">
        <v>100</v>
      </c>
      <c r="D166" s="527"/>
      <c r="E166" s="527">
        <v>100</v>
      </c>
      <c r="F166" s="104"/>
      <c r="G166" s="104"/>
      <c r="H166" s="104">
        <v>0</v>
      </c>
      <c r="I166" s="104"/>
      <c r="J166" s="104"/>
      <c r="K166" s="104">
        <v>0</v>
      </c>
      <c r="L166" s="62"/>
      <c r="M166" s="62"/>
    </row>
    <row r="167" spans="1:13" ht="37.5" x14ac:dyDescent="0.3">
      <c r="A167" s="102"/>
      <c r="B167" s="396" t="s">
        <v>1179</v>
      </c>
      <c r="C167" s="104">
        <v>1239.8</v>
      </c>
      <c r="D167" s="527">
        <v>-0.05</v>
      </c>
      <c r="E167" s="527">
        <f t="shared" ref="E167:E168" si="14">SUM(C167:D167)</f>
        <v>1239.75</v>
      </c>
      <c r="F167" s="104"/>
      <c r="G167" s="104"/>
      <c r="H167" s="104">
        <v>0</v>
      </c>
      <c r="I167" s="104"/>
      <c r="J167" s="104"/>
      <c r="K167" s="104">
        <v>0</v>
      </c>
      <c r="L167" s="62"/>
      <c r="M167" s="62"/>
    </row>
    <row r="168" spans="1:13" ht="18.75" x14ac:dyDescent="0.3">
      <c r="A168" s="102"/>
      <c r="B168" s="396" t="s">
        <v>1191</v>
      </c>
      <c r="C168" s="103">
        <v>379.1</v>
      </c>
      <c r="D168" s="527">
        <v>-0.02</v>
      </c>
      <c r="E168" s="527">
        <f t="shared" si="14"/>
        <v>379.08000000000004</v>
      </c>
      <c r="F168" s="104"/>
      <c r="G168" s="104"/>
      <c r="H168" s="104">
        <v>0</v>
      </c>
      <c r="I168" s="104"/>
      <c r="J168" s="104"/>
      <c r="K168" s="104">
        <v>0</v>
      </c>
      <c r="L168" s="62"/>
      <c r="M168" s="62"/>
    </row>
    <row r="169" spans="1:13" ht="18.75" x14ac:dyDescent="0.3">
      <c r="A169" s="95" t="s">
        <v>681</v>
      </c>
      <c r="B169" s="128" t="s">
        <v>770</v>
      </c>
      <c r="C169" s="523">
        <f t="shared" ref="C169:K169" si="15">C170+C190+C185+C188+C189+C191</f>
        <v>280562.7</v>
      </c>
      <c r="D169" s="523">
        <f t="shared" si="15"/>
        <v>7386.7809999999999</v>
      </c>
      <c r="E169" s="523">
        <f t="shared" si="15"/>
        <v>287949.48099999997</v>
      </c>
      <c r="F169" s="96">
        <f t="shared" si="15"/>
        <v>282066</v>
      </c>
      <c r="G169" s="96">
        <f t="shared" si="15"/>
        <v>0</v>
      </c>
      <c r="H169" s="96">
        <f t="shared" si="15"/>
        <v>282066</v>
      </c>
      <c r="I169" s="96">
        <f t="shared" si="15"/>
        <v>277529.60000000009</v>
      </c>
      <c r="J169" s="96">
        <f t="shared" si="15"/>
        <v>0</v>
      </c>
      <c r="K169" s="96">
        <f t="shared" si="15"/>
        <v>277529.60000000009</v>
      </c>
      <c r="L169" s="58"/>
      <c r="M169" s="58"/>
    </row>
    <row r="170" spans="1:13" ht="56.25" x14ac:dyDescent="0.3">
      <c r="A170" s="110" t="s">
        <v>682</v>
      </c>
      <c r="B170" s="129" t="s">
        <v>683</v>
      </c>
      <c r="C170" s="111">
        <f t="shared" ref="C170:K170" si="16">SUM(C172:C183)</f>
        <v>273589.39999999997</v>
      </c>
      <c r="D170" s="524">
        <f>SUM(D172:D184)</f>
        <v>7332.28</v>
      </c>
      <c r="E170" s="524">
        <f>SUM(E172:E184)</f>
        <v>280921.67999999993</v>
      </c>
      <c r="F170" s="111">
        <f t="shared" si="16"/>
        <v>275085.09999999998</v>
      </c>
      <c r="G170" s="111">
        <f>SUM(G172:G183)</f>
        <v>0</v>
      </c>
      <c r="H170" s="111">
        <f t="shared" si="16"/>
        <v>275085.09999999998</v>
      </c>
      <c r="I170" s="111">
        <f t="shared" si="16"/>
        <v>270503.90000000002</v>
      </c>
      <c r="J170" s="111">
        <f t="shared" si="16"/>
        <v>0</v>
      </c>
      <c r="K170" s="111">
        <f t="shared" si="16"/>
        <v>270503.90000000002</v>
      </c>
      <c r="L170" s="67"/>
      <c r="M170" s="67"/>
    </row>
    <row r="171" spans="1:13" ht="18.75" x14ac:dyDescent="0.3">
      <c r="A171" s="75"/>
      <c r="B171" s="72" t="s">
        <v>1</v>
      </c>
      <c r="C171" s="113"/>
      <c r="D171" s="526"/>
      <c r="E171" s="526"/>
      <c r="F171" s="113"/>
      <c r="G171" s="113"/>
      <c r="H171" s="113"/>
      <c r="I171" s="113"/>
      <c r="J171" s="113"/>
      <c r="K171" s="113"/>
      <c r="L171" s="70"/>
      <c r="M171" s="70"/>
    </row>
    <row r="172" spans="1:13" ht="31.5" x14ac:dyDescent="0.25">
      <c r="A172" s="75"/>
      <c r="B172" s="120" t="s">
        <v>684</v>
      </c>
      <c r="C172" s="117">
        <v>256535.3</v>
      </c>
      <c r="D172" s="522">
        <f>6225.6-0.02</f>
        <v>6225.58</v>
      </c>
      <c r="E172" s="522">
        <f t="shared" ref="E172:E174" si="17">SUM(C172:D172)</f>
        <v>262760.88</v>
      </c>
      <c r="F172" s="117">
        <v>257979</v>
      </c>
      <c r="G172" s="117"/>
      <c r="H172" s="117">
        <f>SUM(F172:G172)</f>
        <v>257979</v>
      </c>
      <c r="I172" s="117">
        <v>253397.8</v>
      </c>
      <c r="J172" s="117"/>
      <c r="K172" s="117">
        <f>SUM(I172:J172)</f>
        <v>253397.8</v>
      </c>
      <c r="L172" s="71" t="s">
        <v>1001</v>
      </c>
      <c r="M172" s="71"/>
    </row>
    <row r="173" spans="1:13" ht="31.5" x14ac:dyDescent="0.25">
      <c r="A173" s="75"/>
      <c r="B173" s="120" t="s">
        <v>685</v>
      </c>
      <c r="C173" s="117">
        <v>861.3</v>
      </c>
      <c r="D173" s="522"/>
      <c r="E173" s="522">
        <f t="shared" si="17"/>
        <v>861.3</v>
      </c>
      <c r="F173" s="117">
        <v>891.4</v>
      </c>
      <c r="G173" s="117"/>
      <c r="H173" s="117">
        <f>SUM(F173:G173)</f>
        <v>891.4</v>
      </c>
      <c r="I173" s="117">
        <v>891.4</v>
      </c>
      <c r="J173" s="117"/>
      <c r="K173" s="117">
        <f>SUM(I173:J173)</f>
        <v>891.4</v>
      </c>
      <c r="L173" s="71" t="s">
        <v>1001</v>
      </c>
      <c r="M173" s="71"/>
    </row>
    <row r="174" spans="1:13" ht="63" x14ac:dyDescent="0.25">
      <c r="A174" s="75"/>
      <c r="B174" s="120" t="s">
        <v>686</v>
      </c>
      <c r="C174" s="117">
        <v>62.8</v>
      </c>
      <c r="D174" s="522"/>
      <c r="E174" s="522">
        <f t="shared" si="17"/>
        <v>62.8</v>
      </c>
      <c r="F174" s="117">
        <v>65.099999999999994</v>
      </c>
      <c r="G174" s="117"/>
      <c r="H174" s="117">
        <f>SUM(F174:G174)</f>
        <v>65.099999999999994</v>
      </c>
      <c r="I174" s="117">
        <v>65.099999999999994</v>
      </c>
      <c r="J174" s="117"/>
      <c r="K174" s="117">
        <f>SUM(I174:J174)</f>
        <v>65.099999999999994</v>
      </c>
      <c r="L174" s="71" t="s">
        <v>1001</v>
      </c>
      <c r="M174" s="71"/>
    </row>
    <row r="175" spans="1:13" ht="31.5" x14ac:dyDescent="0.25">
      <c r="A175" s="75"/>
      <c r="B175" s="120" t="s">
        <v>687</v>
      </c>
      <c r="C175" s="117">
        <v>4025.6</v>
      </c>
      <c r="D175" s="522"/>
      <c r="E175" s="522">
        <v>4025.6</v>
      </c>
      <c r="F175" s="117">
        <v>4025.6</v>
      </c>
      <c r="G175" s="117"/>
      <c r="H175" s="117">
        <v>4025.6</v>
      </c>
      <c r="I175" s="117">
        <v>4025.6</v>
      </c>
      <c r="J175" s="117"/>
      <c r="K175" s="117">
        <v>4025.6</v>
      </c>
      <c r="L175" s="71" t="s">
        <v>1001</v>
      </c>
      <c r="M175" s="71"/>
    </row>
    <row r="176" spans="1:13" ht="78.75" x14ac:dyDescent="0.25">
      <c r="A176" s="75"/>
      <c r="B176" s="120" t="s">
        <v>688</v>
      </c>
      <c r="C176" s="117">
        <v>11395.5</v>
      </c>
      <c r="D176" s="522">
        <v>738.9</v>
      </c>
      <c r="E176" s="522">
        <f>SUM(C176:D176)</f>
        <v>12134.4</v>
      </c>
      <c r="F176" s="117">
        <v>11395.5</v>
      </c>
      <c r="G176" s="117"/>
      <c r="H176" s="117">
        <v>11395.5</v>
      </c>
      <c r="I176" s="117">
        <v>11395.5</v>
      </c>
      <c r="J176" s="117"/>
      <c r="K176" s="117">
        <v>11395.5</v>
      </c>
      <c r="L176" s="71" t="s">
        <v>1001</v>
      </c>
      <c r="M176" s="71"/>
    </row>
    <row r="177" spans="1:13" ht="47.25" x14ac:dyDescent="0.25">
      <c r="A177" s="75"/>
      <c r="B177" s="130" t="s">
        <v>689</v>
      </c>
      <c r="C177" s="117">
        <v>495.8</v>
      </c>
      <c r="D177" s="522"/>
      <c r="E177" s="522">
        <f>SUM(C177:D177)</f>
        <v>495.8</v>
      </c>
      <c r="F177" s="117">
        <v>512.9</v>
      </c>
      <c r="G177" s="117"/>
      <c r="H177" s="117">
        <f>SUM(F177:G177)</f>
        <v>512.9</v>
      </c>
      <c r="I177" s="117">
        <v>512.9</v>
      </c>
      <c r="J177" s="117"/>
      <c r="K177" s="117">
        <f>SUM(I177:J177)</f>
        <v>512.9</v>
      </c>
      <c r="L177" s="71" t="s">
        <v>1001</v>
      </c>
      <c r="M177" s="71"/>
    </row>
    <row r="178" spans="1:13" ht="31.5" x14ac:dyDescent="0.25">
      <c r="A178" s="75"/>
      <c r="B178" s="131" t="s">
        <v>690</v>
      </c>
      <c r="C178" s="117">
        <v>17.5</v>
      </c>
      <c r="D178" s="522"/>
      <c r="E178" s="522">
        <v>17.5</v>
      </c>
      <c r="F178" s="117">
        <v>17.5</v>
      </c>
      <c r="G178" s="117"/>
      <c r="H178" s="117">
        <v>17.5</v>
      </c>
      <c r="I178" s="117">
        <v>17.5</v>
      </c>
      <c r="J178" s="117"/>
      <c r="K178" s="117">
        <v>17.5</v>
      </c>
      <c r="L178" s="71" t="s">
        <v>1001</v>
      </c>
      <c r="M178" s="71"/>
    </row>
    <row r="179" spans="1:13" ht="31.5" x14ac:dyDescent="0.25">
      <c r="A179" s="75"/>
      <c r="B179" s="130" t="s">
        <v>691</v>
      </c>
      <c r="C179" s="117">
        <v>50</v>
      </c>
      <c r="D179" s="522"/>
      <c r="E179" s="522">
        <f>SUM(C179:D179)</f>
        <v>50</v>
      </c>
      <c r="F179" s="117">
        <v>51.9</v>
      </c>
      <c r="G179" s="117"/>
      <c r="H179" s="117">
        <f>SUM(F179:G179)</f>
        <v>51.9</v>
      </c>
      <c r="I179" s="117">
        <v>51.9</v>
      </c>
      <c r="J179" s="117"/>
      <c r="K179" s="117">
        <f>SUM(I179:J179)</f>
        <v>51.9</v>
      </c>
      <c r="L179" s="71" t="s">
        <v>1001</v>
      </c>
      <c r="M179" s="71"/>
    </row>
    <row r="180" spans="1:13" ht="31.5" x14ac:dyDescent="0.25">
      <c r="A180" s="75"/>
      <c r="B180" s="131" t="s">
        <v>692</v>
      </c>
      <c r="C180" s="117">
        <v>130.80000000000001</v>
      </c>
      <c r="D180" s="522"/>
      <c r="E180" s="522">
        <v>130.80000000000001</v>
      </c>
      <c r="F180" s="117">
        <v>130.80000000000001</v>
      </c>
      <c r="G180" s="117"/>
      <c r="H180" s="117">
        <v>130.80000000000001</v>
      </c>
      <c r="I180" s="117">
        <v>130.80000000000001</v>
      </c>
      <c r="J180" s="117"/>
      <c r="K180" s="117">
        <v>130.80000000000001</v>
      </c>
      <c r="L180" s="71" t="s">
        <v>1001</v>
      </c>
      <c r="M180" s="71"/>
    </row>
    <row r="181" spans="1:13" ht="47.25" x14ac:dyDescent="0.25">
      <c r="A181" s="75"/>
      <c r="B181" s="131" t="s">
        <v>693</v>
      </c>
      <c r="C181" s="117">
        <v>4</v>
      </c>
      <c r="D181" s="522"/>
      <c r="E181" s="522">
        <f>SUM(C181:D181)</f>
        <v>4</v>
      </c>
      <c r="F181" s="117">
        <v>4.0999999999999996</v>
      </c>
      <c r="G181" s="117"/>
      <c r="H181" s="117">
        <v>4.0999999999999996</v>
      </c>
      <c r="I181" s="117">
        <v>4.0999999999999996</v>
      </c>
      <c r="J181" s="117"/>
      <c r="K181" s="117">
        <v>4.0999999999999996</v>
      </c>
      <c r="L181" s="71" t="s">
        <v>1001</v>
      </c>
      <c r="M181" s="71"/>
    </row>
    <row r="182" spans="1:13" ht="56.25" x14ac:dyDescent="0.3">
      <c r="A182" s="75"/>
      <c r="B182" s="132" t="s">
        <v>694</v>
      </c>
      <c r="C182" s="125"/>
      <c r="D182" s="529"/>
      <c r="E182" s="529"/>
      <c r="F182" s="125"/>
      <c r="G182" s="125"/>
      <c r="H182" s="125"/>
      <c r="I182" s="125"/>
      <c r="J182" s="125"/>
      <c r="K182" s="125"/>
      <c r="L182" s="71"/>
      <c r="M182" s="71"/>
    </row>
    <row r="183" spans="1:13" ht="47.25" x14ac:dyDescent="0.25">
      <c r="A183" s="75"/>
      <c r="B183" s="131" t="s">
        <v>695</v>
      </c>
      <c r="C183" s="117">
        <v>10.8</v>
      </c>
      <c r="D183" s="522"/>
      <c r="E183" s="522">
        <f>SUM(C183:D183)</f>
        <v>10.8</v>
      </c>
      <c r="F183" s="117">
        <v>11.3</v>
      </c>
      <c r="G183" s="117"/>
      <c r="H183" s="117">
        <f>SUM(F183:G183)</f>
        <v>11.3</v>
      </c>
      <c r="I183" s="117">
        <v>11.3</v>
      </c>
      <c r="J183" s="117"/>
      <c r="K183" s="117">
        <f>SUM(I183:J183)</f>
        <v>11.3</v>
      </c>
      <c r="L183" s="71" t="s">
        <v>1001</v>
      </c>
      <c r="M183" s="71"/>
    </row>
    <row r="184" spans="1:13" ht="47.25" x14ac:dyDescent="0.25">
      <c r="A184" s="75"/>
      <c r="B184" s="131" t="s">
        <v>1211</v>
      </c>
      <c r="C184" s="117"/>
      <c r="D184" s="522">
        <v>367.8</v>
      </c>
      <c r="E184" s="522">
        <f>D184</f>
        <v>367.8</v>
      </c>
      <c r="F184" s="117"/>
      <c r="G184" s="117"/>
      <c r="H184" s="117"/>
      <c r="I184" s="117"/>
      <c r="J184" s="117"/>
      <c r="K184" s="117"/>
      <c r="L184" s="71"/>
      <c r="M184" s="71"/>
    </row>
    <row r="185" spans="1:13" ht="75" x14ac:dyDescent="0.3">
      <c r="A185" s="121" t="s">
        <v>696</v>
      </c>
      <c r="B185" s="122" t="s">
        <v>1239</v>
      </c>
      <c r="C185" s="111">
        <f>C187</f>
        <v>4593.2</v>
      </c>
      <c r="D185" s="524">
        <f>SUM(D187)</f>
        <v>4.0000000000000001E-3</v>
      </c>
      <c r="E185" s="524">
        <f>E187</f>
        <v>4593.2039999999997</v>
      </c>
      <c r="F185" s="111">
        <f>F187</f>
        <v>4593.2</v>
      </c>
      <c r="G185" s="111"/>
      <c r="H185" s="111">
        <f>H187</f>
        <v>4593.2</v>
      </c>
      <c r="I185" s="111">
        <f>I187</f>
        <v>4593.2</v>
      </c>
      <c r="J185" s="111"/>
      <c r="K185" s="111">
        <f>K187</f>
        <v>4593.2</v>
      </c>
      <c r="L185" s="67"/>
      <c r="M185" s="67"/>
    </row>
    <row r="186" spans="1:13" ht="18.75" x14ac:dyDescent="0.3">
      <c r="A186" s="123"/>
      <c r="B186" s="124" t="s">
        <v>1</v>
      </c>
      <c r="C186" s="113"/>
      <c r="D186" s="526"/>
      <c r="E186" s="526"/>
      <c r="F186" s="113"/>
      <c r="G186" s="113"/>
      <c r="H186" s="113"/>
      <c r="I186" s="113"/>
      <c r="J186" s="113"/>
      <c r="K186" s="113"/>
      <c r="L186" s="70"/>
      <c r="M186" s="70"/>
    </row>
    <row r="187" spans="1:13" ht="78.75" x14ac:dyDescent="0.25">
      <c r="A187" s="123"/>
      <c r="B187" s="120" t="s">
        <v>697</v>
      </c>
      <c r="C187" s="117">
        <v>4593.2</v>
      </c>
      <c r="D187" s="522">
        <v>4.0000000000000001E-3</v>
      </c>
      <c r="E187" s="522">
        <f>SUM(C187:D187)</f>
        <v>4593.2039999999997</v>
      </c>
      <c r="F187" s="117">
        <v>4593.2</v>
      </c>
      <c r="G187" s="117"/>
      <c r="H187" s="117">
        <v>4593.2</v>
      </c>
      <c r="I187" s="117">
        <v>4593.2</v>
      </c>
      <c r="J187" s="117"/>
      <c r="K187" s="117">
        <v>4593.2</v>
      </c>
      <c r="L187" s="71" t="s">
        <v>1001</v>
      </c>
      <c r="M187" s="71"/>
    </row>
    <row r="188" spans="1:13" ht="56.25" x14ac:dyDescent="0.3">
      <c r="A188" s="133" t="s">
        <v>698</v>
      </c>
      <c r="B188" s="391" t="s">
        <v>699</v>
      </c>
      <c r="C188" s="111">
        <v>952</v>
      </c>
      <c r="D188" s="524">
        <v>54.5</v>
      </c>
      <c r="E188" s="524">
        <f>SUM(C188:D188)</f>
        <v>1006.5</v>
      </c>
      <c r="F188" s="111">
        <v>981.3</v>
      </c>
      <c r="G188" s="111"/>
      <c r="H188" s="111">
        <v>981.3</v>
      </c>
      <c r="I188" s="111">
        <v>1014.2</v>
      </c>
      <c r="J188" s="111"/>
      <c r="K188" s="111">
        <v>1014.2</v>
      </c>
      <c r="L188" s="67" t="s">
        <v>1001</v>
      </c>
      <c r="M188" s="67"/>
    </row>
    <row r="189" spans="1:13" ht="75" x14ac:dyDescent="0.3">
      <c r="A189" s="134" t="s">
        <v>700</v>
      </c>
      <c r="B189" s="392" t="s">
        <v>1120</v>
      </c>
      <c r="C189" s="111">
        <v>36.299999999999997</v>
      </c>
      <c r="D189" s="524"/>
      <c r="E189" s="524">
        <v>36.299999999999997</v>
      </c>
      <c r="F189" s="111">
        <v>2.6</v>
      </c>
      <c r="G189" s="111"/>
      <c r="H189" s="111">
        <v>2.6</v>
      </c>
      <c r="I189" s="111">
        <v>2.5</v>
      </c>
      <c r="J189" s="111"/>
      <c r="K189" s="111">
        <v>2.5</v>
      </c>
      <c r="L189" s="67" t="s">
        <v>1001</v>
      </c>
      <c r="M189" s="67"/>
    </row>
    <row r="190" spans="1:13" ht="37.5" x14ac:dyDescent="0.3">
      <c r="A190" s="121" t="s">
        <v>701</v>
      </c>
      <c r="B190" s="122" t="s">
        <v>702</v>
      </c>
      <c r="C190" s="111">
        <v>1295.9000000000001</v>
      </c>
      <c r="D190" s="524"/>
      <c r="E190" s="524">
        <v>1295.9000000000001</v>
      </c>
      <c r="F190" s="111">
        <v>1295.9000000000001</v>
      </c>
      <c r="G190" s="111"/>
      <c r="H190" s="111">
        <v>1295.9000000000001</v>
      </c>
      <c r="I190" s="111">
        <v>1295.9000000000001</v>
      </c>
      <c r="J190" s="111"/>
      <c r="K190" s="111">
        <v>1295.9000000000001</v>
      </c>
      <c r="L190" s="67" t="s">
        <v>1001</v>
      </c>
      <c r="M190" s="67"/>
    </row>
    <row r="191" spans="1:13" ht="18.75" x14ac:dyDescent="0.3">
      <c r="A191" s="121" t="s">
        <v>703</v>
      </c>
      <c r="B191" s="122" t="s">
        <v>704</v>
      </c>
      <c r="C191" s="111">
        <f>SUM(C193:C194)</f>
        <v>95.9</v>
      </c>
      <c r="D191" s="524">
        <f>SUM(D193:D194)</f>
        <v>-3.0000000000000001E-3</v>
      </c>
      <c r="E191" s="524">
        <f>SUM(E193:E194)</f>
        <v>95.897000000000006</v>
      </c>
      <c r="F191" s="111">
        <f>SUM(F193:F194)</f>
        <v>107.9</v>
      </c>
      <c r="G191" s="111"/>
      <c r="H191" s="111">
        <f>SUM(H193:H194)</f>
        <v>107.9</v>
      </c>
      <c r="I191" s="111">
        <f>SUM(I193:I194)</f>
        <v>119.9</v>
      </c>
      <c r="J191" s="111"/>
      <c r="K191" s="111">
        <f>SUM(K193:K194)</f>
        <v>119.9</v>
      </c>
      <c r="L191" s="67"/>
      <c r="M191" s="67"/>
    </row>
    <row r="192" spans="1:13" ht="18.75" x14ac:dyDescent="0.3">
      <c r="A192" s="123"/>
      <c r="B192" s="124" t="s">
        <v>1</v>
      </c>
      <c r="C192" s="113"/>
      <c r="D192" s="526"/>
      <c r="E192" s="526"/>
      <c r="F192" s="113"/>
      <c r="G192" s="113"/>
      <c r="H192" s="113"/>
      <c r="I192" s="113"/>
      <c r="J192" s="113"/>
      <c r="K192" s="113"/>
      <c r="L192" s="70"/>
      <c r="M192" s="70"/>
    </row>
    <row r="193" spans="1:13" ht="75" x14ac:dyDescent="0.25">
      <c r="A193" s="123"/>
      <c r="B193" s="72" t="s">
        <v>705</v>
      </c>
      <c r="C193" s="125"/>
      <c r="D193" s="529"/>
      <c r="E193" s="529"/>
      <c r="F193" s="125"/>
      <c r="G193" s="125"/>
      <c r="H193" s="125"/>
      <c r="I193" s="125"/>
      <c r="J193" s="125"/>
      <c r="K193" s="125"/>
      <c r="L193" s="71"/>
      <c r="M193" s="71"/>
    </row>
    <row r="194" spans="1:13" ht="47.25" x14ac:dyDescent="0.25">
      <c r="A194" s="123"/>
      <c r="B194" s="120" t="s">
        <v>706</v>
      </c>
      <c r="C194" s="117">
        <v>95.9</v>
      </c>
      <c r="D194" s="522">
        <v>-3.0000000000000001E-3</v>
      </c>
      <c r="E194" s="522">
        <f>SUM(C194:D194)</f>
        <v>95.897000000000006</v>
      </c>
      <c r="F194" s="117">
        <v>107.9</v>
      </c>
      <c r="G194" s="117"/>
      <c r="H194" s="117">
        <v>107.9</v>
      </c>
      <c r="I194" s="117">
        <v>119.9</v>
      </c>
      <c r="J194" s="117"/>
      <c r="K194" s="117">
        <v>119.9</v>
      </c>
      <c r="L194" s="71" t="s">
        <v>1001</v>
      </c>
      <c r="M194" s="71"/>
    </row>
    <row r="195" spans="1:13" ht="18.75" x14ac:dyDescent="0.3">
      <c r="A195" s="95" t="s">
        <v>707</v>
      </c>
      <c r="B195" s="136" t="s">
        <v>771</v>
      </c>
      <c r="C195" s="523">
        <f t="shared" ref="C195:K195" si="18">C198+C197</f>
        <v>41513.199999999997</v>
      </c>
      <c r="D195" s="523">
        <f>D198+D197+D196</f>
        <v>-321.44799999999998</v>
      </c>
      <c r="E195" s="523">
        <f>E198+E197+E196</f>
        <v>41191.752</v>
      </c>
      <c r="F195" s="96">
        <f t="shared" si="18"/>
        <v>40843.200000000004</v>
      </c>
      <c r="G195" s="96">
        <f t="shared" si="18"/>
        <v>0</v>
      </c>
      <c r="H195" s="96">
        <f t="shared" si="18"/>
        <v>40843.200000000004</v>
      </c>
      <c r="I195" s="96">
        <f t="shared" si="18"/>
        <v>40742.9</v>
      </c>
      <c r="J195" s="96">
        <f t="shared" si="18"/>
        <v>0</v>
      </c>
      <c r="K195" s="96">
        <f t="shared" si="18"/>
        <v>40742.9</v>
      </c>
      <c r="L195" s="58"/>
      <c r="M195" s="58"/>
    </row>
    <row r="196" spans="1:13" s="444" customFormat="1" ht="75" x14ac:dyDescent="0.3">
      <c r="A196" s="121" t="s">
        <v>1215</v>
      </c>
      <c r="B196" s="122" t="s">
        <v>1216</v>
      </c>
      <c r="C196" s="526"/>
      <c r="D196" s="524">
        <v>137.334</v>
      </c>
      <c r="E196" s="524">
        <v>137.334</v>
      </c>
      <c r="F196" s="113"/>
      <c r="G196" s="113"/>
      <c r="H196" s="113"/>
      <c r="I196" s="113"/>
      <c r="J196" s="113"/>
      <c r="K196" s="113"/>
      <c r="L196" s="70"/>
      <c r="M196" s="70"/>
    </row>
    <row r="197" spans="1:13" ht="75" x14ac:dyDescent="0.3">
      <c r="A197" s="121" t="s">
        <v>708</v>
      </c>
      <c r="B197" s="122" t="s">
        <v>772</v>
      </c>
      <c r="C197" s="111">
        <v>12128.1</v>
      </c>
      <c r="D197" s="524"/>
      <c r="E197" s="524">
        <v>12128.1</v>
      </c>
      <c r="F197" s="111">
        <v>12128.1</v>
      </c>
      <c r="G197" s="111"/>
      <c r="H197" s="111">
        <v>12128.1</v>
      </c>
      <c r="I197" s="111">
        <v>12128.1</v>
      </c>
      <c r="J197" s="111"/>
      <c r="K197" s="111">
        <v>12128.1</v>
      </c>
      <c r="L197" s="67" t="s">
        <v>1001</v>
      </c>
      <c r="M197" s="67"/>
    </row>
    <row r="198" spans="1:13" ht="37.5" x14ac:dyDescent="0.3">
      <c r="A198" s="121" t="s">
        <v>709</v>
      </c>
      <c r="B198" s="122" t="s">
        <v>710</v>
      </c>
      <c r="C198" s="111">
        <f>SUM(C200:C204)</f>
        <v>29385.1</v>
      </c>
      <c r="D198" s="524">
        <f>SUM(D200:D205)</f>
        <v>-458.78199999999998</v>
      </c>
      <c r="E198" s="524">
        <f>SUM(E200:E205)</f>
        <v>28926.317999999999</v>
      </c>
      <c r="F198" s="111">
        <f t="shared" ref="F198:K198" si="19">SUM(F200:F203)</f>
        <v>28715.100000000002</v>
      </c>
      <c r="G198" s="111">
        <f t="shared" si="19"/>
        <v>0</v>
      </c>
      <c r="H198" s="111">
        <f t="shared" si="19"/>
        <v>28715.100000000002</v>
      </c>
      <c r="I198" s="111">
        <f t="shared" si="19"/>
        <v>28614.800000000003</v>
      </c>
      <c r="J198" s="111">
        <f t="shared" si="19"/>
        <v>0</v>
      </c>
      <c r="K198" s="111">
        <f t="shared" si="19"/>
        <v>28614.800000000003</v>
      </c>
      <c r="L198" s="67" t="s">
        <v>1001</v>
      </c>
      <c r="M198" s="67"/>
    </row>
    <row r="199" spans="1:13" ht="18.75" x14ac:dyDescent="0.3">
      <c r="A199" s="121"/>
      <c r="B199" s="124" t="s">
        <v>1</v>
      </c>
      <c r="C199" s="111"/>
      <c r="D199" s="524"/>
      <c r="E199" s="524"/>
      <c r="F199" s="111"/>
      <c r="G199" s="111"/>
      <c r="H199" s="111"/>
      <c r="I199" s="111"/>
      <c r="J199" s="111"/>
      <c r="K199" s="111"/>
      <c r="L199" s="67"/>
      <c r="M199" s="67"/>
    </row>
    <row r="200" spans="1:13" s="408" customFormat="1" ht="31.5" x14ac:dyDescent="0.25">
      <c r="A200" s="357"/>
      <c r="B200" s="76" t="s">
        <v>711</v>
      </c>
      <c r="C200" s="117">
        <v>360.6</v>
      </c>
      <c r="D200" s="522">
        <v>-4.5999999999999999E-2</v>
      </c>
      <c r="E200" s="522">
        <f>SUM(C200:D200)</f>
        <v>360.55400000000003</v>
      </c>
      <c r="F200" s="119"/>
      <c r="G200" s="117"/>
      <c r="H200" s="119">
        <v>0</v>
      </c>
      <c r="I200" s="117"/>
      <c r="J200" s="119"/>
      <c r="K200" s="117">
        <v>0</v>
      </c>
      <c r="L200" s="407"/>
      <c r="M200" s="407"/>
    </row>
    <row r="201" spans="1:13" s="408" customFormat="1" ht="63" x14ac:dyDescent="0.25">
      <c r="A201" s="357"/>
      <c r="B201" s="401" t="s">
        <v>1092</v>
      </c>
      <c r="C201" s="117">
        <v>112.5</v>
      </c>
      <c r="D201" s="522"/>
      <c r="E201" s="522">
        <v>112.5</v>
      </c>
      <c r="F201" s="117"/>
      <c r="G201" s="117"/>
      <c r="H201" s="117">
        <v>0</v>
      </c>
      <c r="I201" s="117"/>
      <c r="J201" s="117"/>
      <c r="K201" s="117">
        <v>0</v>
      </c>
      <c r="L201" s="407"/>
      <c r="M201" s="407"/>
    </row>
    <row r="202" spans="1:13" s="408" customFormat="1" ht="47.25" x14ac:dyDescent="0.25">
      <c r="A202" s="357"/>
      <c r="B202" s="120" t="s">
        <v>712</v>
      </c>
      <c r="C202" s="117">
        <v>12726.9</v>
      </c>
      <c r="D202" s="522">
        <f>-0.039-463.705</f>
        <v>-463.74399999999997</v>
      </c>
      <c r="E202" s="522">
        <f>SUM(C202:D202)</f>
        <v>12263.155999999999</v>
      </c>
      <c r="F202" s="117">
        <v>11943.2</v>
      </c>
      <c r="G202" s="117"/>
      <c r="H202" s="117">
        <f>SUM(F202:G202)</f>
        <v>11943.2</v>
      </c>
      <c r="I202" s="117">
        <v>11766.4</v>
      </c>
      <c r="J202" s="117"/>
      <c r="K202" s="117">
        <f>SUM(I202:J202)</f>
        <v>11766.4</v>
      </c>
      <c r="L202" s="407"/>
      <c r="M202" s="407"/>
    </row>
    <row r="203" spans="1:13" s="408" customFormat="1" ht="15.75" x14ac:dyDescent="0.25">
      <c r="A203" s="357"/>
      <c r="B203" s="120" t="s">
        <v>713</v>
      </c>
      <c r="C203" s="117">
        <v>14185.099999999999</v>
      </c>
      <c r="D203" s="522">
        <v>8.0000000000000002E-3</v>
      </c>
      <c r="E203" s="522">
        <f>SUM(C203:D203)</f>
        <v>14185.107999999998</v>
      </c>
      <c r="F203" s="117">
        <v>16771.900000000001</v>
      </c>
      <c r="G203" s="117"/>
      <c r="H203" s="117">
        <v>16771.900000000001</v>
      </c>
      <c r="I203" s="117">
        <v>16848.400000000001</v>
      </c>
      <c r="J203" s="117"/>
      <c r="K203" s="117">
        <v>16848.400000000001</v>
      </c>
      <c r="L203" s="407"/>
      <c r="M203" s="407"/>
    </row>
    <row r="204" spans="1:13" s="408" customFormat="1" ht="56.25" x14ac:dyDescent="0.25">
      <c r="A204" s="357"/>
      <c r="B204" s="124" t="s">
        <v>1163</v>
      </c>
      <c r="C204" s="117">
        <v>2000</v>
      </c>
      <c r="D204" s="533"/>
      <c r="E204" s="522">
        <v>2000</v>
      </c>
      <c r="F204" s="117"/>
      <c r="G204" s="117"/>
      <c r="H204" s="117">
        <v>0</v>
      </c>
      <c r="I204" s="117"/>
      <c r="J204" s="117"/>
      <c r="K204" s="117">
        <v>0</v>
      </c>
      <c r="L204" s="407"/>
      <c r="M204" s="407"/>
    </row>
    <row r="205" spans="1:13" s="408" customFormat="1" ht="56.25" x14ac:dyDescent="0.25">
      <c r="A205" s="357"/>
      <c r="B205" s="126" t="s">
        <v>1210</v>
      </c>
      <c r="C205" s="117"/>
      <c r="D205" s="522">
        <v>5</v>
      </c>
      <c r="E205" s="522">
        <v>5</v>
      </c>
      <c r="F205" s="117"/>
      <c r="G205" s="117"/>
      <c r="H205" s="117"/>
      <c r="I205" s="117"/>
      <c r="J205" s="117"/>
      <c r="K205" s="117"/>
      <c r="L205" s="407"/>
      <c r="M205" s="407"/>
    </row>
    <row r="206" spans="1:13" s="408" customFormat="1" ht="37.5" x14ac:dyDescent="0.25">
      <c r="A206" s="73" t="s">
        <v>1185</v>
      </c>
      <c r="B206" s="74" t="s">
        <v>1184</v>
      </c>
      <c r="C206" s="530">
        <v>51</v>
      </c>
      <c r="D206" s="530">
        <f>D207</f>
        <v>-3.5000000000000003E-2</v>
      </c>
      <c r="E206" s="530">
        <f>E207</f>
        <v>50.965000000000003</v>
      </c>
      <c r="F206" s="451"/>
      <c r="G206" s="451"/>
      <c r="H206" s="451">
        <v>0</v>
      </c>
      <c r="I206" s="451"/>
      <c r="J206" s="451"/>
      <c r="K206" s="451">
        <v>0</v>
      </c>
      <c r="L206" s="407"/>
      <c r="M206" s="407"/>
    </row>
    <row r="207" spans="1:13" s="408" customFormat="1" ht="31.5" x14ac:dyDescent="0.25">
      <c r="A207" s="357" t="s">
        <v>1187</v>
      </c>
      <c r="B207" s="401" t="s">
        <v>1186</v>
      </c>
      <c r="C207" s="522">
        <v>51</v>
      </c>
      <c r="D207" s="522">
        <v>-3.5000000000000003E-2</v>
      </c>
      <c r="E207" s="522">
        <f>SUM(C207:D207)</f>
        <v>50.965000000000003</v>
      </c>
      <c r="F207" s="117"/>
      <c r="G207" s="117"/>
      <c r="H207" s="117"/>
      <c r="I207" s="117"/>
      <c r="J207" s="117"/>
      <c r="K207" s="117"/>
      <c r="L207" s="407"/>
      <c r="M207" s="407"/>
    </row>
    <row r="208" spans="1:13" ht="18.75" x14ac:dyDescent="0.25">
      <c r="A208" s="73" t="s">
        <v>717</v>
      </c>
      <c r="B208" s="74" t="s">
        <v>718</v>
      </c>
      <c r="C208" s="531">
        <f>C210+C209</f>
        <v>1220.5</v>
      </c>
      <c r="D208" s="531">
        <f>D209</f>
        <v>-3.7999999999999999E-2</v>
      </c>
      <c r="E208" s="531">
        <f>E210+E209</f>
        <v>1220.462</v>
      </c>
      <c r="F208" s="137"/>
      <c r="G208" s="137"/>
      <c r="H208" s="462">
        <f>H210</f>
        <v>0</v>
      </c>
      <c r="I208" s="462">
        <f t="shared" ref="I208:K208" si="20">I210</f>
        <v>0</v>
      </c>
      <c r="J208" s="462">
        <f t="shared" si="20"/>
        <v>0</v>
      </c>
      <c r="K208" s="462">
        <f t="shared" si="20"/>
        <v>0</v>
      </c>
      <c r="L208" s="71"/>
      <c r="M208" s="71"/>
    </row>
    <row r="209" spans="1:13" s="444" customFormat="1" ht="37.5" x14ac:dyDescent="0.25">
      <c r="A209" s="357" t="s">
        <v>1164</v>
      </c>
      <c r="B209" s="445" t="s">
        <v>1165</v>
      </c>
      <c r="C209" s="527">
        <v>120.5</v>
      </c>
      <c r="D209" s="527">
        <v>-3.7999999999999999E-2</v>
      </c>
      <c r="E209" s="527">
        <f>SUM(C209:D209)</f>
        <v>120.462</v>
      </c>
      <c r="F209" s="443"/>
      <c r="G209" s="443"/>
      <c r="H209" s="463">
        <v>0</v>
      </c>
      <c r="I209" s="463"/>
      <c r="J209" s="463"/>
      <c r="K209" s="463">
        <v>0</v>
      </c>
      <c r="L209" s="71"/>
      <c r="M209" s="71"/>
    </row>
    <row r="210" spans="1:13" s="408" customFormat="1" ht="15.75" x14ac:dyDescent="0.25">
      <c r="A210" s="357" t="s">
        <v>719</v>
      </c>
      <c r="B210" s="120" t="s">
        <v>720</v>
      </c>
      <c r="C210" s="522">
        <v>1100</v>
      </c>
      <c r="D210" s="522"/>
      <c r="E210" s="522">
        <f>SUM(C210:D210)</f>
        <v>1100</v>
      </c>
      <c r="F210" s="117"/>
      <c r="G210" s="117"/>
      <c r="H210" s="117">
        <v>0</v>
      </c>
      <c r="I210" s="117"/>
      <c r="J210" s="117"/>
      <c r="K210" s="117">
        <v>0</v>
      </c>
      <c r="L210" s="407"/>
      <c r="M210" s="407"/>
    </row>
    <row r="211" spans="1:13" s="408" customFormat="1" ht="75" x14ac:dyDescent="0.25">
      <c r="A211" s="73" t="s">
        <v>1180</v>
      </c>
      <c r="B211" s="450" t="s">
        <v>1181</v>
      </c>
      <c r="C211" s="530"/>
      <c r="D211" s="530">
        <f>D212</f>
        <v>39.465000000000003</v>
      </c>
      <c r="E211" s="530">
        <f>E212</f>
        <v>39.465000000000003</v>
      </c>
      <c r="F211" s="451"/>
      <c r="G211" s="451"/>
      <c r="H211" s="451"/>
      <c r="I211" s="451"/>
      <c r="J211" s="451"/>
      <c r="K211" s="451"/>
      <c r="L211" s="407"/>
      <c r="M211" s="407"/>
    </row>
    <row r="212" spans="1:13" s="408" customFormat="1" ht="37.5" x14ac:dyDescent="0.25">
      <c r="A212" s="75" t="s">
        <v>1182</v>
      </c>
      <c r="B212" s="445" t="s">
        <v>1183</v>
      </c>
      <c r="C212" s="522"/>
      <c r="D212" s="522">
        <v>39.465000000000003</v>
      </c>
      <c r="E212" s="522">
        <f>SUM(D212)</f>
        <v>39.465000000000003</v>
      </c>
      <c r="F212" s="117"/>
      <c r="G212" s="117"/>
      <c r="H212" s="117"/>
      <c r="I212" s="117"/>
      <c r="J212" s="117"/>
      <c r="K212" s="117"/>
      <c r="L212" s="407"/>
      <c r="M212" s="407"/>
    </row>
    <row r="213" spans="1:13" ht="37.5" x14ac:dyDescent="0.25">
      <c r="A213" s="73" t="s">
        <v>714</v>
      </c>
      <c r="B213" s="74" t="s">
        <v>715</v>
      </c>
      <c r="C213" s="532">
        <f>C214</f>
        <v>-11809.4</v>
      </c>
      <c r="D213" s="532">
        <f>D214</f>
        <v>-1448.588</v>
      </c>
      <c r="E213" s="532">
        <f>E214</f>
        <v>-13257.987999999999</v>
      </c>
      <c r="F213" s="138">
        <f>F214</f>
        <v>0</v>
      </c>
      <c r="G213" s="138"/>
      <c r="H213" s="138">
        <f>H214</f>
        <v>0</v>
      </c>
      <c r="I213" s="138">
        <f>I214</f>
        <v>0</v>
      </c>
      <c r="J213" s="138"/>
      <c r="K213" s="138">
        <f>K214</f>
        <v>0</v>
      </c>
      <c r="L213" s="71"/>
      <c r="M213" s="71"/>
    </row>
    <row r="214" spans="1:13" s="408" customFormat="1" ht="31.5" x14ac:dyDescent="0.25">
      <c r="A214" s="387" t="s">
        <v>1116</v>
      </c>
      <c r="B214" s="388" t="s">
        <v>1117</v>
      </c>
      <c r="C214" s="522">
        <v>-11809.4</v>
      </c>
      <c r="D214" s="522">
        <v>-1448.588</v>
      </c>
      <c r="E214" s="522">
        <v>-13257.987999999999</v>
      </c>
      <c r="F214" s="117"/>
      <c r="G214" s="117"/>
      <c r="H214" s="117">
        <v>0</v>
      </c>
      <c r="I214" s="117"/>
      <c r="J214" s="117"/>
      <c r="K214" s="117">
        <v>0</v>
      </c>
      <c r="L214" s="407"/>
      <c r="M214" s="407"/>
    </row>
    <row r="215" spans="1:13" ht="18.75" x14ac:dyDescent="0.3">
      <c r="A215" s="75"/>
      <c r="B215" s="81" t="s">
        <v>716</v>
      </c>
      <c r="C215" s="524">
        <f t="shared" ref="C215:K215" si="21">C10+C95</f>
        <v>871338.59999999986</v>
      </c>
      <c r="D215" s="524">
        <f>D10+D95</f>
        <v>6809.6449999999986</v>
      </c>
      <c r="E215" s="524">
        <f t="shared" si="21"/>
        <v>878148.245</v>
      </c>
      <c r="F215" s="111">
        <f t="shared" si="21"/>
        <v>787526.2</v>
      </c>
      <c r="G215" s="111">
        <f t="shared" si="21"/>
        <v>0</v>
      </c>
      <c r="H215" s="111">
        <f t="shared" si="21"/>
        <v>787526.2</v>
      </c>
      <c r="I215" s="111">
        <f t="shared" si="21"/>
        <v>751686.90000000014</v>
      </c>
      <c r="J215" s="111">
        <f t="shared" si="21"/>
        <v>0</v>
      </c>
      <c r="K215" s="111">
        <f t="shared" si="21"/>
        <v>751686.90000000014</v>
      </c>
      <c r="L215" s="67"/>
      <c r="M215" s="67"/>
    </row>
    <row r="216" spans="1:13" ht="14.45" hidden="1" x14ac:dyDescent="0.3">
      <c r="F216" s="363">
        <f>F195+F169+F106</f>
        <v>421764.9</v>
      </c>
      <c r="H216" s="363">
        <f>H195+H169+H106</f>
        <v>421764.9</v>
      </c>
      <c r="I216" s="363">
        <f>I195+I169+I106</f>
        <v>364421.10000000009</v>
      </c>
      <c r="J216" s="363"/>
      <c r="K216" s="363">
        <f>K195+K169+K106</f>
        <v>364421.10000000009</v>
      </c>
    </row>
    <row r="217" spans="1:13" ht="14.45" hidden="1" x14ac:dyDescent="0.3">
      <c r="F217" s="363">
        <f>F215-F216</f>
        <v>365761.29999999993</v>
      </c>
      <c r="H217" s="363">
        <f>H215-H216</f>
        <v>365761.29999999993</v>
      </c>
      <c r="J217" s="363"/>
    </row>
  </sheetData>
  <mergeCells count="15">
    <mergeCell ref="E1:K1"/>
    <mergeCell ref="E2:K2"/>
    <mergeCell ref="A4:K4"/>
    <mergeCell ref="A6:A8"/>
    <mergeCell ref="B6:B8"/>
    <mergeCell ref="C7:C8"/>
    <mergeCell ref="H7:H8"/>
    <mergeCell ref="K7:K8"/>
    <mergeCell ref="E7:E8"/>
    <mergeCell ref="D6:D8"/>
    <mergeCell ref="F7:F8"/>
    <mergeCell ref="I7:I8"/>
    <mergeCell ref="G6:G8"/>
    <mergeCell ref="J6:J8"/>
    <mergeCell ref="E3:K3"/>
  </mergeCells>
  <pageMargins left="1.1811023622047245" right="0.39370078740157483" top="0.19685039370078741" bottom="0.19685039370078741" header="0" footer="0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R689"/>
  <sheetViews>
    <sheetView view="pageBreakPreview" topLeftCell="A670" zoomScale="81" zoomScaleSheetLayoutView="81" workbookViewId="0">
      <selection activeCell="C6" sqref="C6"/>
    </sheetView>
  </sheetViews>
  <sheetFormatPr defaultColWidth="9.140625" defaultRowHeight="15" x14ac:dyDescent="0.25"/>
  <cols>
    <col min="1" max="1" width="14.42578125" style="142" customWidth="1"/>
    <col min="2" max="2" width="7.5703125" style="142" customWidth="1"/>
    <col min="3" max="3" width="62.140625" style="142" customWidth="1"/>
    <col min="4" max="4" width="0.28515625" style="142" customWidth="1"/>
    <col min="5" max="5" width="12.5703125" style="142" hidden="1" customWidth="1"/>
    <col min="6" max="6" width="12.5703125" style="142" customWidth="1"/>
    <col min="7" max="7" width="0.140625" style="142" customWidth="1"/>
    <col min="8" max="8" width="11.28515625" style="142" hidden="1" customWidth="1"/>
    <col min="9" max="9" width="11.140625" style="142" customWidth="1"/>
    <col min="10" max="10" width="9.7109375" style="142" hidden="1" customWidth="1"/>
    <col min="11" max="11" width="10.28515625" style="142" hidden="1" customWidth="1"/>
    <col min="12" max="13" width="11.140625" style="142" customWidth="1"/>
    <col min="14" max="14" width="9.28515625" style="142" bestFit="1" customWidth="1"/>
    <col min="15" max="16" width="9.140625" style="142"/>
    <col min="17" max="18" width="9.28515625" style="142" bestFit="1" customWidth="1"/>
    <col min="19" max="16384" width="9.140625" style="142"/>
  </cols>
  <sheetData>
    <row r="1" spans="1:12" ht="15" customHeight="1" x14ac:dyDescent="0.25">
      <c r="A1" s="140"/>
      <c r="B1" s="140"/>
      <c r="C1" s="140"/>
      <c r="E1" s="453"/>
      <c r="F1" s="639" t="s">
        <v>970</v>
      </c>
      <c r="G1" s="639"/>
      <c r="H1" s="639"/>
      <c r="I1" s="639"/>
      <c r="J1" s="639"/>
      <c r="K1" s="639"/>
      <c r="L1" s="639"/>
    </row>
    <row r="2" spans="1:12" ht="47.25" customHeight="1" x14ac:dyDescent="0.25">
      <c r="A2" s="140"/>
      <c r="B2" s="140"/>
      <c r="C2" s="140"/>
      <c r="D2" s="453"/>
      <c r="E2" s="453"/>
      <c r="F2" s="640" t="s">
        <v>1202</v>
      </c>
      <c r="G2" s="640"/>
      <c r="H2" s="640"/>
      <c r="I2" s="640"/>
      <c r="J2" s="640"/>
      <c r="K2" s="640"/>
      <c r="L2" s="640"/>
    </row>
    <row r="3" spans="1:12" ht="15.75" x14ac:dyDescent="0.25">
      <c r="A3" s="143"/>
      <c r="B3" s="143"/>
      <c r="C3" s="143"/>
      <c r="D3" s="464"/>
      <c r="E3" s="464"/>
      <c r="F3" s="641" t="s">
        <v>1304</v>
      </c>
      <c r="G3" s="641"/>
      <c r="H3" s="641"/>
      <c r="I3" s="641"/>
      <c r="J3" s="641"/>
      <c r="K3" s="641"/>
      <c r="L3" s="641"/>
    </row>
    <row r="4" spans="1:12" ht="14.45" x14ac:dyDescent="0.3">
      <c r="A4" s="140"/>
      <c r="B4" s="140"/>
      <c r="C4" s="140"/>
      <c r="D4" s="643"/>
      <c r="E4" s="643"/>
      <c r="F4" s="643"/>
      <c r="G4" s="643"/>
      <c r="H4" s="643"/>
      <c r="I4" s="643"/>
      <c r="J4" s="643"/>
      <c r="K4" s="643"/>
      <c r="L4" s="643"/>
    </row>
    <row r="5" spans="1:12" ht="31.5" customHeight="1" x14ac:dyDescent="0.25">
      <c r="A5" s="642" t="s">
        <v>983</v>
      </c>
      <c r="B5" s="642"/>
      <c r="C5" s="642"/>
      <c r="D5" s="642"/>
      <c r="E5" s="642"/>
      <c r="F5" s="642"/>
      <c r="G5" s="642"/>
      <c r="H5" s="642"/>
      <c r="I5" s="642"/>
      <c r="J5" s="642"/>
      <c r="K5" s="642"/>
      <c r="L5" s="642"/>
    </row>
    <row r="6" spans="1:12" ht="84.75" x14ac:dyDescent="0.25">
      <c r="A6" s="144" t="s">
        <v>6</v>
      </c>
      <c r="B6" s="144" t="s">
        <v>7</v>
      </c>
      <c r="C6" s="144" t="s">
        <v>8</v>
      </c>
      <c r="D6" s="521" t="s">
        <v>0</v>
      </c>
      <c r="E6" s="521" t="s">
        <v>1038</v>
      </c>
      <c r="F6" s="521" t="s">
        <v>0</v>
      </c>
      <c r="G6" s="144" t="s">
        <v>2</v>
      </c>
      <c r="H6" s="144"/>
      <c r="I6" s="144" t="s">
        <v>2</v>
      </c>
      <c r="J6" s="144" t="s">
        <v>743</v>
      </c>
      <c r="K6" s="144"/>
      <c r="L6" s="144" t="s">
        <v>743</v>
      </c>
    </row>
    <row r="7" spans="1:12" ht="24.75" x14ac:dyDescent="0.25">
      <c r="A7" s="145" t="s">
        <v>9</v>
      </c>
      <c r="B7" s="145"/>
      <c r="C7" s="146" t="s">
        <v>10</v>
      </c>
      <c r="D7" s="466">
        <f t="shared" ref="D7:L7" si="0">D8+D72+D197+D210+D242+D262+D338+D357+D382+D386+D523+D552+D563+D589+D597+D615</f>
        <v>845250.39999999991</v>
      </c>
      <c r="E7" s="466">
        <f t="shared" si="0"/>
        <v>1989.5459999999982</v>
      </c>
      <c r="F7" s="466">
        <f t="shared" si="0"/>
        <v>847239.94899999967</v>
      </c>
      <c r="G7" s="147">
        <f t="shared" si="0"/>
        <v>730537.09999999986</v>
      </c>
      <c r="H7" s="147">
        <f t="shared" si="0"/>
        <v>2334.5</v>
      </c>
      <c r="I7" s="147">
        <f t="shared" si="0"/>
        <v>732871.59999999974</v>
      </c>
      <c r="J7" s="147">
        <f t="shared" si="0"/>
        <v>672357.4</v>
      </c>
      <c r="K7" s="147">
        <f t="shared" si="0"/>
        <v>0</v>
      </c>
      <c r="L7" s="147">
        <f t="shared" si="0"/>
        <v>672357.4</v>
      </c>
    </row>
    <row r="8" spans="1:12" ht="26.25" x14ac:dyDescent="0.25">
      <c r="A8" s="148" t="s">
        <v>11</v>
      </c>
      <c r="B8" s="148"/>
      <c r="C8" s="149" t="s">
        <v>12</v>
      </c>
      <c r="D8" s="448">
        <f t="shared" ref="D8:L8" si="1">D9+D21+D35+D64</f>
        <v>68107</v>
      </c>
      <c r="E8" s="448">
        <f t="shared" si="1"/>
        <v>1190.5</v>
      </c>
      <c r="F8" s="448">
        <f t="shared" si="1"/>
        <v>69297.499999999985</v>
      </c>
      <c r="G8" s="150">
        <f t="shared" si="1"/>
        <v>67181.700000000012</v>
      </c>
      <c r="H8" s="150">
        <f t="shared" si="1"/>
        <v>0</v>
      </c>
      <c r="I8" s="150">
        <f t="shared" si="1"/>
        <v>67181.700000000012</v>
      </c>
      <c r="J8" s="150">
        <f t="shared" si="1"/>
        <v>67214.500000000015</v>
      </c>
      <c r="K8" s="150">
        <f t="shared" si="1"/>
        <v>0</v>
      </c>
      <c r="L8" s="150">
        <f t="shared" si="1"/>
        <v>67214.500000000015</v>
      </c>
    </row>
    <row r="9" spans="1:12" ht="26.25" x14ac:dyDescent="0.25">
      <c r="A9" s="151" t="s">
        <v>13</v>
      </c>
      <c r="B9" s="151"/>
      <c r="C9" s="152" t="s">
        <v>14</v>
      </c>
      <c r="D9" s="467">
        <f>D10+D13+D16</f>
        <v>1162</v>
      </c>
      <c r="E9" s="467">
        <f>E10+E13+E16</f>
        <v>0</v>
      </c>
      <c r="F9" s="467">
        <f>F10+F13+F16</f>
        <v>1162</v>
      </c>
      <c r="G9" s="153">
        <f>G10+G13+G16</f>
        <v>0</v>
      </c>
      <c r="H9" s="153"/>
      <c r="I9" s="153">
        <f>I10+I13+I16</f>
        <v>0</v>
      </c>
      <c r="J9" s="153">
        <f>J10+J13+J16</f>
        <v>0</v>
      </c>
      <c r="K9" s="153"/>
      <c r="L9" s="153">
        <f>L10+L13+L16</f>
        <v>0</v>
      </c>
    </row>
    <row r="10" spans="1:12" ht="39" x14ac:dyDescent="0.25">
      <c r="A10" s="154" t="s">
        <v>15</v>
      </c>
      <c r="B10" s="154"/>
      <c r="C10" s="155" t="s">
        <v>16</v>
      </c>
      <c r="D10" s="468">
        <f t="shared" ref="D10:F11" si="2">D11</f>
        <v>149.80000000000001</v>
      </c>
      <c r="E10" s="468">
        <f t="shared" si="2"/>
        <v>0</v>
      </c>
      <c r="F10" s="468">
        <f t="shared" si="2"/>
        <v>149.80000000000001</v>
      </c>
      <c r="G10" s="156">
        <f t="shared" ref="G10:L10" si="3">G11</f>
        <v>0</v>
      </c>
      <c r="H10" s="156"/>
      <c r="I10" s="156">
        <f t="shared" si="3"/>
        <v>0</v>
      </c>
      <c r="J10" s="156">
        <f t="shared" si="3"/>
        <v>0</v>
      </c>
      <c r="K10" s="156"/>
      <c r="L10" s="156">
        <f t="shared" si="3"/>
        <v>0</v>
      </c>
    </row>
    <row r="11" spans="1:12" x14ac:dyDescent="0.25">
      <c r="A11" s="157" t="s">
        <v>774</v>
      </c>
      <c r="B11" s="158"/>
      <c r="C11" s="159" t="s">
        <v>739</v>
      </c>
      <c r="D11" s="469">
        <f t="shared" si="2"/>
        <v>149.80000000000001</v>
      </c>
      <c r="E11" s="469">
        <f t="shared" si="2"/>
        <v>0</v>
      </c>
      <c r="F11" s="469">
        <f t="shared" si="2"/>
        <v>149.80000000000001</v>
      </c>
      <c r="G11" s="160">
        <f>G12</f>
        <v>0</v>
      </c>
      <c r="H11" s="160"/>
      <c r="I11" s="160">
        <f>I12</f>
        <v>0</v>
      </c>
      <c r="J11" s="160">
        <f>J12</f>
        <v>0</v>
      </c>
      <c r="K11" s="160"/>
      <c r="L11" s="160">
        <f>L12</f>
        <v>0</v>
      </c>
    </row>
    <row r="12" spans="1:12" ht="26.25" x14ac:dyDescent="0.25">
      <c r="A12" s="158"/>
      <c r="B12" s="157" t="s">
        <v>17</v>
      </c>
      <c r="C12" s="159" t="s">
        <v>18</v>
      </c>
      <c r="D12" s="469">
        <v>149.80000000000001</v>
      </c>
      <c r="E12" s="469"/>
      <c r="F12" s="469">
        <f>SUM(D12:E12)</f>
        <v>149.80000000000001</v>
      </c>
      <c r="G12" s="160">
        <v>0</v>
      </c>
      <c r="H12" s="160"/>
      <c r="I12" s="160">
        <v>0</v>
      </c>
      <c r="J12" s="160">
        <v>0</v>
      </c>
      <c r="K12" s="160"/>
      <c r="L12" s="160">
        <v>0</v>
      </c>
    </row>
    <row r="13" spans="1:12" ht="26.25" x14ac:dyDescent="0.25">
      <c r="A13" s="154" t="s">
        <v>19</v>
      </c>
      <c r="B13" s="154"/>
      <c r="C13" s="155" t="s">
        <v>20</v>
      </c>
      <c r="D13" s="468">
        <f t="shared" ref="D13:L14" si="4">D14</f>
        <v>905.2</v>
      </c>
      <c r="E13" s="468">
        <f t="shared" si="4"/>
        <v>0</v>
      </c>
      <c r="F13" s="468">
        <f t="shared" si="4"/>
        <v>905.2</v>
      </c>
      <c r="G13" s="156">
        <f t="shared" si="4"/>
        <v>0</v>
      </c>
      <c r="H13" s="156"/>
      <c r="I13" s="156">
        <f t="shared" si="4"/>
        <v>0</v>
      </c>
      <c r="J13" s="156">
        <f t="shared" si="4"/>
        <v>0</v>
      </c>
      <c r="K13" s="156"/>
      <c r="L13" s="156">
        <f t="shared" si="4"/>
        <v>0</v>
      </c>
    </row>
    <row r="14" spans="1:12" ht="51.75" x14ac:dyDescent="0.25">
      <c r="A14" s="449" t="s">
        <v>21</v>
      </c>
      <c r="B14" s="158"/>
      <c r="C14" s="159" t="s">
        <v>971</v>
      </c>
      <c r="D14" s="470">
        <f t="shared" si="4"/>
        <v>905.2</v>
      </c>
      <c r="E14" s="470">
        <f t="shared" si="4"/>
        <v>0</v>
      </c>
      <c r="F14" s="470">
        <f t="shared" si="4"/>
        <v>905.2</v>
      </c>
      <c r="G14" s="160">
        <f t="shared" si="4"/>
        <v>0</v>
      </c>
      <c r="H14" s="160"/>
      <c r="I14" s="160">
        <f t="shared" si="4"/>
        <v>0</v>
      </c>
      <c r="J14" s="160">
        <f t="shared" si="4"/>
        <v>0</v>
      </c>
      <c r="K14" s="160"/>
      <c r="L14" s="160">
        <f t="shared" si="4"/>
        <v>0</v>
      </c>
    </row>
    <row r="15" spans="1:12" ht="26.25" x14ac:dyDescent="0.25">
      <c r="A15" s="158"/>
      <c r="B15" s="157" t="s">
        <v>17</v>
      </c>
      <c r="C15" s="159" t="s">
        <v>18</v>
      </c>
      <c r="D15" s="470">
        <v>905.2</v>
      </c>
      <c r="E15" s="470"/>
      <c r="F15" s="470">
        <v>905.2</v>
      </c>
      <c r="G15" s="160">
        <v>0</v>
      </c>
      <c r="H15" s="160"/>
      <c r="I15" s="160">
        <v>0</v>
      </c>
      <c r="J15" s="160">
        <v>0</v>
      </c>
      <c r="K15" s="160"/>
      <c r="L15" s="160">
        <v>0</v>
      </c>
    </row>
    <row r="16" spans="1:12" ht="39" x14ac:dyDescent="0.25">
      <c r="A16" s="154" t="s">
        <v>22</v>
      </c>
      <c r="B16" s="154"/>
      <c r="C16" s="155" t="s">
        <v>23</v>
      </c>
      <c r="D16" s="471">
        <f>D17+D19</f>
        <v>107</v>
      </c>
      <c r="E16" s="471">
        <f>E17+E19</f>
        <v>0</v>
      </c>
      <c r="F16" s="471">
        <f>F17+F19</f>
        <v>107</v>
      </c>
      <c r="G16" s="161">
        <f>G17</f>
        <v>0</v>
      </c>
      <c r="H16" s="161"/>
      <c r="I16" s="161">
        <f>I17</f>
        <v>0</v>
      </c>
      <c r="J16" s="161">
        <f>J17</f>
        <v>0</v>
      </c>
      <c r="K16" s="161"/>
      <c r="L16" s="161">
        <f>L17</f>
        <v>0</v>
      </c>
    </row>
    <row r="17" spans="1:12" ht="26.25" x14ac:dyDescent="0.25">
      <c r="A17" s="449" t="s">
        <v>24</v>
      </c>
      <c r="B17" s="157"/>
      <c r="C17" s="162" t="s">
        <v>25</v>
      </c>
      <c r="D17" s="470">
        <f>D18</f>
        <v>37.1</v>
      </c>
      <c r="E17" s="470">
        <f>E18</f>
        <v>0</v>
      </c>
      <c r="F17" s="470">
        <f>F18</f>
        <v>37.1</v>
      </c>
      <c r="G17" s="160">
        <f>G18</f>
        <v>0</v>
      </c>
      <c r="H17" s="160"/>
      <c r="I17" s="160">
        <f>I18</f>
        <v>0</v>
      </c>
      <c r="J17" s="160">
        <f>J18</f>
        <v>0</v>
      </c>
      <c r="K17" s="160"/>
      <c r="L17" s="160">
        <f>L18</f>
        <v>0</v>
      </c>
    </row>
    <row r="18" spans="1:12" ht="26.25" x14ac:dyDescent="0.25">
      <c r="A18" s="157"/>
      <c r="B18" s="157" t="s">
        <v>17</v>
      </c>
      <c r="C18" s="159" t="s">
        <v>18</v>
      </c>
      <c r="D18" s="470">
        <v>37.1</v>
      </c>
      <c r="E18" s="470"/>
      <c r="F18" s="470">
        <v>37.1</v>
      </c>
      <c r="G18" s="160">
        <v>0</v>
      </c>
      <c r="H18" s="160"/>
      <c r="I18" s="160">
        <v>0</v>
      </c>
      <c r="J18" s="160">
        <v>0</v>
      </c>
      <c r="K18" s="160"/>
      <c r="L18" s="160">
        <v>0</v>
      </c>
    </row>
    <row r="19" spans="1:12" ht="51.75" x14ac:dyDescent="0.25">
      <c r="A19" s="157" t="s">
        <v>784</v>
      </c>
      <c r="B19" s="157"/>
      <c r="C19" s="162" t="s">
        <v>808</v>
      </c>
      <c r="D19" s="469">
        <f>D20</f>
        <v>69.900000000000006</v>
      </c>
      <c r="E19" s="469"/>
      <c r="F19" s="469">
        <f>F20</f>
        <v>69.900000000000006</v>
      </c>
      <c r="G19" s="160">
        <f>G20</f>
        <v>0</v>
      </c>
      <c r="H19" s="160"/>
      <c r="I19" s="160">
        <f>I20</f>
        <v>0</v>
      </c>
      <c r="J19" s="160">
        <f>J20</f>
        <v>0</v>
      </c>
      <c r="K19" s="160"/>
      <c r="L19" s="160">
        <f>L20</f>
        <v>0</v>
      </c>
    </row>
    <row r="20" spans="1:12" ht="26.25" x14ac:dyDescent="0.25">
      <c r="A20" s="157"/>
      <c r="B20" s="157" t="s">
        <v>17</v>
      </c>
      <c r="C20" s="159" t="s">
        <v>18</v>
      </c>
      <c r="D20" s="469">
        <v>69.900000000000006</v>
      </c>
      <c r="E20" s="469"/>
      <c r="F20" s="469">
        <v>69.900000000000006</v>
      </c>
      <c r="G20" s="160">
        <v>0</v>
      </c>
      <c r="H20" s="160"/>
      <c r="I20" s="160">
        <v>0</v>
      </c>
      <c r="J20" s="160">
        <v>0</v>
      </c>
      <c r="K20" s="160"/>
      <c r="L20" s="160">
        <v>0</v>
      </c>
    </row>
    <row r="21" spans="1:12" ht="39" x14ac:dyDescent="0.25">
      <c r="A21" s="151" t="s">
        <v>26</v>
      </c>
      <c r="B21" s="151"/>
      <c r="C21" s="163" t="s">
        <v>27</v>
      </c>
      <c r="D21" s="467">
        <f>D22</f>
        <v>63110.9</v>
      </c>
      <c r="E21" s="467">
        <f>E22</f>
        <v>768.2</v>
      </c>
      <c r="F21" s="467">
        <f>F22</f>
        <v>63879.099999999991</v>
      </c>
      <c r="G21" s="153">
        <f>G22</f>
        <v>63416.900000000009</v>
      </c>
      <c r="H21" s="153"/>
      <c r="I21" s="153">
        <f>I22</f>
        <v>63416.900000000009</v>
      </c>
      <c r="J21" s="153">
        <f>J22</f>
        <v>63416.900000000009</v>
      </c>
      <c r="K21" s="153"/>
      <c r="L21" s="153">
        <f>L22</f>
        <v>63416.900000000009</v>
      </c>
    </row>
    <row r="22" spans="1:12" ht="39" x14ac:dyDescent="0.25">
      <c r="A22" s="154" t="s">
        <v>28</v>
      </c>
      <c r="B22" s="154"/>
      <c r="C22" s="155" t="s">
        <v>466</v>
      </c>
      <c r="D22" s="468">
        <f>D23+D26+D30+D33</f>
        <v>63110.9</v>
      </c>
      <c r="E22" s="468">
        <f>E23+E26+E30+E33</f>
        <v>768.2</v>
      </c>
      <c r="F22" s="468">
        <f>F23+F26+F30+F33</f>
        <v>63879.099999999991</v>
      </c>
      <c r="G22" s="156">
        <f>G23+G26+G30+G33</f>
        <v>63416.900000000009</v>
      </c>
      <c r="H22" s="156"/>
      <c r="I22" s="156">
        <f>I23+I26+I30+I33</f>
        <v>63416.900000000009</v>
      </c>
      <c r="J22" s="156">
        <f>J23+J26+J30+J33</f>
        <v>63416.900000000009</v>
      </c>
      <c r="K22" s="156"/>
      <c r="L22" s="156">
        <f>L23+L26+L30+L33</f>
        <v>63416.900000000009</v>
      </c>
    </row>
    <row r="23" spans="1:12" ht="26.25" x14ac:dyDescent="0.25">
      <c r="A23" s="157" t="s">
        <v>29</v>
      </c>
      <c r="B23" s="157"/>
      <c r="C23" s="159" t="s">
        <v>985</v>
      </c>
      <c r="D23" s="469">
        <f>D24</f>
        <v>1896.9</v>
      </c>
      <c r="E23" s="470">
        <f>E24+E25</f>
        <v>420.5</v>
      </c>
      <c r="F23" s="469">
        <f>SUM(F24+F25)</f>
        <v>2317.4</v>
      </c>
      <c r="G23" s="160">
        <f>G24</f>
        <v>1921.6</v>
      </c>
      <c r="H23" s="160"/>
      <c r="I23" s="160">
        <f>I24</f>
        <v>1921.6</v>
      </c>
      <c r="J23" s="160">
        <f>J24</f>
        <v>1921.6</v>
      </c>
      <c r="K23" s="160"/>
      <c r="L23" s="160">
        <f>L24</f>
        <v>1921.6</v>
      </c>
    </row>
    <row r="24" spans="1:12" ht="51.75" x14ac:dyDescent="0.25">
      <c r="A24" s="157"/>
      <c r="B24" s="157" t="s">
        <v>30</v>
      </c>
      <c r="C24" s="159" t="s">
        <v>450</v>
      </c>
      <c r="D24" s="472">
        <v>1896.9</v>
      </c>
      <c r="E24" s="473">
        <f>-27.1+167.7+252.8</f>
        <v>393.4</v>
      </c>
      <c r="F24" s="472">
        <f>SUM(D24:E24)</f>
        <v>2290.3000000000002</v>
      </c>
      <c r="G24" s="29">
        <v>1921.6</v>
      </c>
      <c r="H24" s="29"/>
      <c r="I24" s="29">
        <v>1921.6</v>
      </c>
      <c r="J24" s="29">
        <v>1921.6</v>
      </c>
      <c r="K24" s="29"/>
      <c r="L24" s="29">
        <v>1921.6</v>
      </c>
    </row>
    <row r="25" spans="1:12" x14ac:dyDescent="0.25">
      <c r="A25" s="520"/>
      <c r="B25" s="27" t="s">
        <v>37</v>
      </c>
      <c r="C25" s="28" t="s">
        <v>38</v>
      </c>
      <c r="D25" s="472"/>
      <c r="E25" s="473">
        <v>27.1</v>
      </c>
      <c r="F25" s="472">
        <v>27.1</v>
      </c>
      <c r="G25" s="29"/>
      <c r="H25" s="29"/>
      <c r="I25" s="29"/>
      <c r="J25" s="29"/>
      <c r="K25" s="29"/>
      <c r="L25" s="29"/>
    </row>
    <row r="26" spans="1:12" ht="25.5" x14ac:dyDescent="0.25">
      <c r="A26" s="449" t="s">
        <v>31</v>
      </c>
      <c r="B26" s="157"/>
      <c r="C26" s="28" t="s">
        <v>988</v>
      </c>
      <c r="D26" s="470">
        <f>D27+D28+D29</f>
        <v>54881.599999999999</v>
      </c>
      <c r="E26" s="470">
        <f>E27+E28+E29</f>
        <v>338.90000000000003</v>
      </c>
      <c r="F26" s="470">
        <f>F27+F28+F29</f>
        <v>55220.499999999993</v>
      </c>
      <c r="G26" s="160">
        <f>G27+G28</f>
        <v>55448.900000000009</v>
      </c>
      <c r="H26" s="160"/>
      <c r="I26" s="160">
        <f>I27+I28</f>
        <v>55448.900000000009</v>
      </c>
      <c r="J26" s="160">
        <f>J27+J28</f>
        <v>55448.900000000009</v>
      </c>
      <c r="K26" s="160"/>
      <c r="L26" s="160">
        <f>L27+L28</f>
        <v>55448.900000000009</v>
      </c>
    </row>
    <row r="27" spans="1:12" ht="51.75" x14ac:dyDescent="0.25">
      <c r="A27" s="157"/>
      <c r="B27" s="157" t="s">
        <v>30</v>
      </c>
      <c r="C27" s="159" t="s">
        <v>450</v>
      </c>
      <c r="D27" s="473">
        <v>52081.2</v>
      </c>
      <c r="E27" s="473">
        <f>428.3-140.6</f>
        <v>287.70000000000005</v>
      </c>
      <c r="F27" s="473">
        <f>SUM(D27:E27)</f>
        <v>52368.899999999994</v>
      </c>
      <c r="G27" s="29">
        <f>36895.4+3344.9+5474.8+6999.5</f>
        <v>52714.600000000006</v>
      </c>
      <c r="H27" s="29"/>
      <c r="I27" s="29">
        <f>36895.4+3344.9+5474.8+6999.5</f>
        <v>52714.600000000006</v>
      </c>
      <c r="J27" s="29">
        <f>36895.4+3344.9+5474.8+6999.5</f>
        <v>52714.600000000006</v>
      </c>
      <c r="K27" s="29"/>
      <c r="L27" s="29">
        <f>36895.4+3344.9+5474.8+6999.5</f>
        <v>52714.600000000006</v>
      </c>
    </row>
    <row r="28" spans="1:12" ht="26.25" x14ac:dyDescent="0.25">
      <c r="A28" s="157"/>
      <c r="B28" s="157" t="s">
        <v>17</v>
      </c>
      <c r="C28" s="159" t="s">
        <v>18</v>
      </c>
      <c r="D28" s="470">
        <v>2770.4</v>
      </c>
      <c r="E28" s="482">
        <f>25.4+25.8</f>
        <v>51.2</v>
      </c>
      <c r="F28" s="470">
        <f>SUM(D28:E28)</f>
        <v>2821.6</v>
      </c>
      <c r="G28" s="160">
        <v>2734.3</v>
      </c>
      <c r="H28" s="160"/>
      <c r="I28" s="160">
        <v>2734.3</v>
      </c>
      <c r="J28" s="160">
        <v>2734.3</v>
      </c>
      <c r="K28" s="160"/>
      <c r="L28" s="160">
        <v>2734.3</v>
      </c>
    </row>
    <row r="29" spans="1:12" x14ac:dyDescent="0.25">
      <c r="A29" s="447"/>
      <c r="B29" s="447" t="s">
        <v>32</v>
      </c>
      <c r="C29" s="30" t="s">
        <v>33</v>
      </c>
      <c r="D29" s="470">
        <v>30</v>
      </c>
      <c r="E29" s="539"/>
      <c r="F29" s="470">
        <f>SUM(D29:E29)</f>
        <v>30</v>
      </c>
      <c r="G29" s="160"/>
      <c r="H29" s="160"/>
      <c r="I29" s="160">
        <v>0</v>
      </c>
      <c r="J29" s="160"/>
      <c r="K29" s="160"/>
      <c r="L29" s="160">
        <v>0</v>
      </c>
    </row>
    <row r="30" spans="1:12" ht="51" x14ac:dyDescent="0.25">
      <c r="A30" s="157" t="s">
        <v>34</v>
      </c>
      <c r="B30" s="157"/>
      <c r="C30" s="28" t="s">
        <v>987</v>
      </c>
      <c r="D30" s="469">
        <f>D32+D31</f>
        <v>286</v>
      </c>
      <c r="E30" s="469">
        <v>0</v>
      </c>
      <c r="F30" s="469">
        <f>F32+F31</f>
        <v>286</v>
      </c>
      <c r="G30" s="160">
        <f t="shared" ref="G30:L30" si="5">G32</f>
        <v>0</v>
      </c>
      <c r="H30" s="160"/>
      <c r="I30" s="160">
        <f t="shared" si="5"/>
        <v>0</v>
      </c>
      <c r="J30" s="160">
        <f t="shared" si="5"/>
        <v>0</v>
      </c>
      <c r="K30" s="160"/>
      <c r="L30" s="160">
        <f t="shared" si="5"/>
        <v>0</v>
      </c>
    </row>
    <row r="31" spans="1:12" ht="51.75" x14ac:dyDescent="0.25">
      <c r="A31" s="157"/>
      <c r="B31" s="157" t="s">
        <v>30</v>
      </c>
      <c r="C31" s="159" t="s">
        <v>450</v>
      </c>
      <c r="D31" s="469">
        <v>121.6</v>
      </c>
      <c r="E31" s="469"/>
      <c r="F31" s="469">
        <f>SUM(D31:E31)</f>
        <v>121.6</v>
      </c>
      <c r="G31" s="160"/>
      <c r="H31" s="160"/>
      <c r="I31" s="160">
        <v>0</v>
      </c>
      <c r="J31" s="160"/>
      <c r="K31" s="160"/>
      <c r="L31" s="160">
        <v>0</v>
      </c>
    </row>
    <row r="32" spans="1:12" ht="26.25" x14ac:dyDescent="0.25">
      <c r="A32" s="157"/>
      <c r="B32" s="157" t="s">
        <v>17</v>
      </c>
      <c r="C32" s="159" t="s">
        <v>18</v>
      </c>
      <c r="D32" s="469">
        <v>164.4</v>
      </c>
      <c r="E32" s="469"/>
      <c r="F32" s="469">
        <f>SUM(D32:E32)</f>
        <v>164.4</v>
      </c>
      <c r="G32" s="160">
        <v>0</v>
      </c>
      <c r="H32" s="160"/>
      <c r="I32" s="160">
        <v>0</v>
      </c>
      <c r="J32" s="160">
        <v>0</v>
      </c>
      <c r="K32" s="160"/>
      <c r="L32" s="160">
        <v>0</v>
      </c>
    </row>
    <row r="33" spans="1:12" ht="26.25" x14ac:dyDescent="0.25">
      <c r="A33" s="520" t="s">
        <v>35</v>
      </c>
      <c r="B33" s="157"/>
      <c r="C33" s="162" t="s">
        <v>36</v>
      </c>
      <c r="D33" s="469">
        <f>D34</f>
        <v>6046.4</v>
      </c>
      <c r="E33" s="469">
        <f>E34</f>
        <v>8.8000000000000007</v>
      </c>
      <c r="F33" s="469">
        <f>F34</f>
        <v>6055.2</v>
      </c>
      <c r="G33" s="160">
        <f t="shared" ref="G33:L33" si="6">G34</f>
        <v>6046.4</v>
      </c>
      <c r="H33" s="160"/>
      <c r="I33" s="160">
        <f t="shared" si="6"/>
        <v>6046.4</v>
      </c>
      <c r="J33" s="160">
        <f t="shared" si="6"/>
        <v>6046.4</v>
      </c>
      <c r="K33" s="160"/>
      <c r="L33" s="160">
        <f t="shared" si="6"/>
        <v>6046.4</v>
      </c>
    </row>
    <row r="34" spans="1:12" x14ac:dyDescent="0.25">
      <c r="A34" s="157"/>
      <c r="B34" s="157" t="s">
        <v>37</v>
      </c>
      <c r="C34" s="159" t="s">
        <v>38</v>
      </c>
      <c r="D34" s="469">
        <v>6046.4</v>
      </c>
      <c r="E34" s="469">
        <v>8.8000000000000007</v>
      </c>
      <c r="F34" s="469">
        <f>SUM(D34:E34)</f>
        <v>6055.2</v>
      </c>
      <c r="G34" s="160">
        <v>6046.4</v>
      </c>
      <c r="H34" s="160"/>
      <c r="I34" s="160">
        <v>6046.4</v>
      </c>
      <c r="J34" s="160">
        <v>6046.4</v>
      </c>
      <c r="K34" s="160"/>
      <c r="L34" s="160">
        <v>6046.4</v>
      </c>
    </row>
    <row r="35" spans="1:12" ht="39" x14ac:dyDescent="0.25">
      <c r="A35" s="151" t="s">
        <v>39</v>
      </c>
      <c r="B35" s="151"/>
      <c r="C35" s="152" t="s">
        <v>40</v>
      </c>
      <c r="D35" s="467">
        <f t="shared" ref="D35:L35" si="7">D36</f>
        <v>3719.6</v>
      </c>
      <c r="E35" s="467">
        <f t="shared" si="7"/>
        <v>422.29999999999995</v>
      </c>
      <c r="F35" s="467">
        <f t="shared" si="7"/>
        <v>4141.8999999999996</v>
      </c>
      <c r="G35" s="153">
        <f t="shared" si="7"/>
        <v>3764.8</v>
      </c>
      <c r="H35" s="153">
        <f t="shared" si="7"/>
        <v>0</v>
      </c>
      <c r="I35" s="153">
        <f t="shared" si="7"/>
        <v>3764.8</v>
      </c>
      <c r="J35" s="153">
        <f t="shared" si="7"/>
        <v>3797.6000000000004</v>
      </c>
      <c r="K35" s="153">
        <f t="shared" si="7"/>
        <v>0</v>
      </c>
      <c r="L35" s="153">
        <f t="shared" si="7"/>
        <v>3797.6000000000004</v>
      </c>
    </row>
    <row r="36" spans="1:12" ht="26.25" x14ac:dyDescent="0.25">
      <c r="A36" s="154" t="s">
        <v>41</v>
      </c>
      <c r="B36" s="164"/>
      <c r="C36" s="155" t="s">
        <v>972</v>
      </c>
      <c r="D36" s="468">
        <f t="shared" ref="D36:L36" si="8">D37+D40+D43+D45+D48+D51+D53+D55+D58</f>
        <v>3719.6</v>
      </c>
      <c r="E36" s="468">
        <f>E37+E40+E43+E45+E48+E51+E53+E55+E58+E61</f>
        <v>422.29999999999995</v>
      </c>
      <c r="F36" s="468">
        <f>F37+F40+F43+F45+F48+F51+F53+F55+F58+F61</f>
        <v>4141.8999999999996</v>
      </c>
      <c r="G36" s="156">
        <f t="shared" si="8"/>
        <v>3764.8</v>
      </c>
      <c r="H36" s="156">
        <f t="shared" si="8"/>
        <v>0</v>
      </c>
      <c r="I36" s="156">
        <f t="shared" si="8"/>
        <v>3764.8</v>
      </c>
      <c r="J36" s="156">
        <f t="shared" si="8"/>
        <v>3797.6000000000004</v>
      </c>
      <c r="K36" s="156">
        <f t="shared" si="8"/>
        <v>0</v>
      </c>
      <c r="L36" s="156">
        <f t="shared" si="8"/>
        <v>3797.6000000000004</v>
      </c>
    </row>
    <row r="37" spans="1:12" ht="26.25" x14ac:dyDescent="0.25">
      <c r="A37" s="157" t="s">
        <v>43</v>
      </c>
      <c r="B37" s="157"/>
      <c r="C37" s="162" t="s">
        <v>1193</v>
      </c>
      <c r="D37" s="596">
        <f>SUM(D38:D39)</f>
        <v>861.3</v>
      </c>
      <c r="E37" s="596">
        <f>E38+E39</f>
        <v>0</v>
      </c>
      <c r="F37" s="596">
        <f>SUM(F38:F39)</f>
        <v>861.3</v>
      </c>
      <c r="G37" s="165">
        <f>SUM(G38:G39)</f>
        <v>891.4</v>
      </c>
      <c r="H37" s="165">
        <f>H38+H39</f>
        <v>0</v>
      </c>
      <c r="I37" s="165">
        <f>SUM(I38:I39)</f>
        <v>891.4</v>
      </c>
      <c r="J37" s="165">
        <f>SUM(J38:J39)</f>
        <v>891.4</v>
      </c>
      <c r="K37" s="165">
        <f>K38+K39</f>
        <v>0</v>
      </c>
      <c r="L37" s="165">
        <f>SUM(L38:L39)</f>
        <v>891.4</v>
      </c>
    </row>
    <row r="38" spans="1:12" ht="51.75" x14ac:dyDescent="0.25">
      <c r="A38" s="157"/>
      <c r="B38" s="157" t="s">
        <v>30</v>
      </c>
      <c r="C38" s="159" t="s">
        <v>450</v>
      </c>
      <c r="D38" s="597">
        <v>792.4</v>
      </c>
      <c r="E38" s="597"/>
      <c r="F38" s="597">
        <f>SUM(D38:E38)</f>
        <v>792.4</v>
      </c>
      <c r="G38" s="40">
        <v>822.6</v>
      </c>
      <c r="H38" s="40"/>
      <c r="I38" s="40">
        <f>SUM(G38:H38)</f>
        <v>822.6</v>
      </c>
      <c r="J38" s="40">
        <v>822.6</v>
      </c>
      <c r="K38" s="40"/>
      <c r="L38" s="40">
        <f>SUM(J38:K38)</f>
        <v>822.6</v>
      </c>
    </row>
    <row r="39" spans="1:12" ht="26.25" x14ac:dyDescent="0.25">
      <c r="A39" s="157"/>
      <c r="B39" s="157" t="s">
        <v>17</v>
      </c>
      <c r="C39" s="159" t="s">
        <v>18</v>
      </c>
      <c r="D39" s="597">
        <v>68.900000000000006</v>
      </c>
      <c r="E39" s="597"/>
      <c r="F39" s="597">
        <f>SUM(D39:E39)</f>
        <v>68.900000000000006</v>
      </c>
      <c r="G39" s="40">
        <v>68.8</v>
      </c>
      <c r="H39" s="40"/>
      <c r="I39" s="40">
        <v>68.8</v>
      </c>
      <c r="J39" s="40">
        <v>68.8</v>
      </c>
      <c r="K39" s="40"/>
      <c r="L39" s="40">
        <v>68.8</v>
      </c>
    </row>
    <row r="40" spans="1:12" ht="26.25" x14ac:dyDescent="0.25">
      <c r="A40" s="157" t="s">
        <v>44</v>
      </c>
      <c r="B40" s="157"/>
      <c r="C40" s="162" t="s">
        <v>45</v>
      </c>
      <c r="D40" s="596">
        <f>SUM(D41:D42)</f>
        <v>495.8</v>
      </c>
      <c r="E40" s="596">
        <f>E41</f>
        <v>0</v>
      </c>
      <c r="F40" s="596">
        <f>SUM(F41:F42)</f>
        <v>495.8</v>
      </c>
      <c r="G40" s="165">
        <f>SUM(G41:G42)</f>
        <v>512.9</v>
      </c>
      <c r="H40" s="165">
        <f>H41</f>
        <v>0</v>
      </c>
      <c r="I40" s="165">
        <f>I41+I42</f>
        <v>512.9</v>
      </c>
      <c r="J40" s="165">
        <f>SUM(J41:J42)</f>
        <v>512.9</v>
      </c>
      <c r="K40" s="165">
        <f>K41+K42</f>
        <v>0</v>
      </c>
      <c r="L40" s="165">
        <f>L41+L42</f>
        <v>512.9</v>
      </c>
    </row>
    <row r="41" spans="1:12" ht="51.75" x14ac:dyDescent="0.25">
      <c r="A41" s="157"/>
      <c r="B41" s="157" t="s">
        <v>30</v>
      </c>
      <c r="C41" s="159" t="s">
        <v>450</v>
      </c>
      <c r="D41" s="597">
        <v>452.7</v>
      </c>
      <c r="E41" s="597"/>
      <c r="F41" s="597">
        <f>SUM(D41:E41)</f>
        <v>452.7</v>
      </c>
      <c r="G41" s="40">
        <v>469.8</v>
      </c>
      <c r="H41" s="40"/>
      <c r="I41" s="40">
        <f>SUM(G41:H41)</f>
        <v>469.8</v>
      </c>
      <c r="J41" s="40">
        <v>469.8</v>
      </c>
      <c r="K41" s="40"/>
      <c r="L41" s="40">
        <f>SUM(J41:K41)</f>
        <v>469.8</v>
      </c>
    </row>
    <row r="42" spans="1:12" ht="26.25" x14ac:dyDescent="0.25">
      <c r="A42" s="157"/>
      <c r="B42" s="157" t="s">
        <v>17</v>
      </c>
      <c r="C42" s="159" t="s">
        <v>18</v>
      </c>
      <c r="D42" s="597">
        <v>43.1</v>
      </c>
      <c r="E42" s="597"/>
      <c r="F42" s="597">
        <f>SUM(D42:E42)</f>
        <v>43.1</v>
      </c>
      <c r="G42" s="40">
        <v>43.1</v>
      </c>
      <c r="H42" s="40"/>
      <c r="I42" s="40">
        <v>43.1</v>
      </c>
      <c r="J42" s="40">
        <v>43.1</v>
      </c>
      <c r="K42" s="40"/>
      <c r="L42" s="40">
        <v>43.1</v>
      </c>
    </row>
    <row r="43" spans="1:12" x14ac:dyDescent="0.25">
      <c r="A43" s="157" t="s">
        <v>46</v>
      </c>
      <c r="B43" s="157"/>
      <c r="C43" s="162" t="s">
        <v>47</v>
      </c>
      <c r="D43" s="596">
        <f>D44</f>
        <v>17.5</v>
      </c>
      <c r="E43" s="596"/>
      <c r="F43" s="596">
        <f>F44</f>
        <v>17.5</v>
      </c>
      <c r="G43" s="165">
        <f>G44</f>
        <v>17.5</v>
      </c>
      <c r="H43" s="165"/>
      <c r="I43" s="165">
        <f>I44</f>
        <v>17.5</v>
      </c>
      <c r="J43" s="165">
        <f>J44</f>
        <v>17.5</v>
      </c>
      <c r="K43" s="165"/>
      <c r="L43" s="165">
        <f>L44</f>
        <v>17.5</v>
      </c>
    </row>
    <row r="44" spans="1:12" ht="26.25" x14ac:dyDescent="0.25">
      <c r="A44" s="157"/>
      <c r="B44" s="157" t="s">
        <v>17</v>
      </c>
      <c r="C44" s="159" t="s">
        <v>18</v>
      </c>
      <c r="D44" s="596">
        <v>17.5</v>
      </c>
      <c r="E44" s="596"/>
      <c r="F44" s="596">
        <v>17.5</v>
      </c>
      <c r="G44" s="165">
        <v>17.5</v>
      </c>
      <c r="H44" s="165"/>
      <c r="I44" s="165">
        <v>17.5</v>
      </c>
      <c r="J44" s="165">
        <v>17.5</v>
      </c>
      <c r="K44" s="165"/>
      <c r="L44" s="165">
        <v>17.5</v>
      </c>
    </row>
    <row r="45" spans="1:12" ht="26.25" x14ac:dyDescent="0.25">
      <c r="A45" s="157" t="s">
        <v>48</v>
      </c>
      <c r="B45" s="157"/>
      <c r="C45" s="159" t="s">
        <v>49</v>
      </c>
      <c r="D45" s="596">
        <f t="shared" ref="D45:L45" si="9">SUM(D46:D47)</f>
        <v>50</v>
      </c>
      <c r="E45" s="596">
        <f t="shared" si="9"/>
        <v>0</v>
      </c>
      <c r="F45" s="596">
        <f t="shared" si="9"/>
        <v>50</v>
      </c>
      <c r="G45" s="165">
        <f t="shared" si="9"/>
        <v>51.900000000000006</v>
      </c>
      <c r="H45" s="165">
        <f t="shared" si="9"/>
        <v>0</v>
      </c>
      <c r="I45" s="165">
        <f t="shared" si="9"/>
        <v>51.900000000000006</v>
      </c>
      <c r="J45" s="165">
        <f t="shared" si="9"/>
        <v>51.900000000000006</v>
      </c>
      <c r="K45" s="165">
        <f t="shared" si="9"/>
        <v>0</v>
      </c>
      <c r="L45" s="165">
        <f t="shared" si="9"/>
        <v>51.900000000000006</v>
      </c>
    </row>
    <row r="46" spans="1:12" ht="51.75" x14ac:dyDescent="0.25">
      <c r="A46" s="157"/>
      <c r="B46" s="157" t="s">
        <v>30</v>
      </c>
      <c r="C46" s="159" t="s">
        <v>450</v>
      </c>
      <c r="D46" s="597">
        <v>45.3</v>
      </c>
      <c r="E46" s="597"/>
      <c r="F46" s="597">
        <f>SUM(D46:E46)</f>
        <v>45.3</v>
      </c>
      <c r="G46" s="40">
        <v>47.2</v>
      </c>
      <c r="H46" s="40"/>
      <c r="I46" s="40">
        <f>SUM(G46:H46)</f>
        <v>47.2</v>
      </c>
      <c r="J46" s="40">
        <v>47.2</v>
      </c>
      <c r="K46" s="40"/>
      <c r="L46" s="40">
        <f>SUM(J46:K46)</f>
        <v>47.2</v>
      </c>
    </row>
    <row r="47" spans="1:12" ht="26.25" x14ac:dyDescent="0.25">
      <c r="A47" s="157"/>
      <c r="B47" s="157" t="s">
        <v>17</v>
      </c>
      <c r="C47" s="159" t="s">
        <v>18</v>
      </c>
      <c r="D47" s="597">
        <v>4.7</v>
      </c>
      <c r="E47" s="597"/>
      <c r="F47" s="597">
        <v>4.7</v>
      </c>
      <c r="G47" s="40">
        <v>4.7</v>
      </c>
      <c r="H47" s="40"/>
      <c r="I47" s="40">
        <v>4.7</v>
      </c>
      <c r="J47" s="40">
        <v>4.7</v>
      </c>
      <c r="K47" s="40"/>
      <c r="L47" s="40">
        <v>4.7</v>
      </c>
    </row>
    <row r="48" spans="1:12" ht="31.5" customHeight="1" x14ac:dyDescent="0.25">
      <c r="A48" s="157" t="s">
        <v>50</v>
      </c>
      <c r="B48" s="157"/>
      <c r="C48" s="162" t="s">
        <v>452</v>
      </c>
      <c r="D48" s="596">
        <f>D49+D50</f>
        <v>0</v>
      </c>
      <c r="E48" s="596"/>
      <c r="F48" s="596">
        <f>F49+F50</f>
        <v>0</v>
      </c>
      <c r="G48" s="165">
        <f>G49+G50</f>
        <v>0</v>
      </c>
      <c r="H48" s="165"/>
      <c r="I48" s="165">
        <f>I49+I50</f>
        <v>0</v>
      </c>
      <c r="J48" s="165">
        <f>J49+J50</f>
        <v>0</v>
      </c>
      <c r="K48" s="165"/>
      <c r="L48" s="165">
        <f>L49+L50</f>
        <v>0</v>
      </c>
    </row>
    <row r="49" spans="1:12" ht="30.75" customHeight="1" x14ac:dyDescent="0.25">
      <c r="A49" s="157"/>
      <c r="B49" s="157" t="s">
        <v>30</v>
      </c>
      <c r="C49" s="159" t="s">
        <v>450</v>
      </c>
      <c r="D49" s="596">
        <v>0</v>
      </c>
      <c r="E49" s="596"/>
      <c r="F49" s="596">
        <v>0</v>
      </c>
      <c r="G49" s="165">
        <v>0</v>
      </c>
      <c r="H49" s="165"/>
      <c r="I49" s="165">
        <v>0</v>
      </c>
      <c r="J49" s="165">
        <v>0</v>
      </c>
      <c r="K49" s="165"/>
      <c r="L49" s="165">
        <v>0</v>
      </c>
    </row>
    <row r="50" spans="1:12" ht="31.5" customHeight="1" x14ac:dyDescent="0.25">
      <c r="A50" s="157"/>
      <c r="B50" s="157" t="s">
        <v>17</v>
      </c>
      <c r="C50" s="159" t="s">
        <v>18</v>
      </c>
      <c r="D50" s="596">
        <v>0</v>
      </c>
      <c r="E50" s="596"/>
      <c r="F50" s="596">
        <v>0</v>
      </c>
      <c r="G50" s="165">
        <v>0</v>
      </c>
      <c r="H50" s="165"/>
      <c r="I50" s="165">
        <v>0</v>
      </c>
      <c r="J50" s="165">
        <v>0</v>
      </c>
      <c r="K50" s="165"/>
      <c r="L50" s="165">
        <v>0</v>
      </c>
    </row>
    <row r="51" spans="1:12" ht="39" x14ac:dyDescent="0.25">
      <c r="A51" s="157" t="s">
        <v>51</v>
      </c>
      <c r="B51" s="157"/>
      <c r="C51" s="162" t="s">
        <v>451</v>
      </c>
      <c r="D51" s="596">
        <f t="shared" ref="D51:L51" si="10">D52</f>
        <v>10.8</v>
      </c>
      <c r="E51" s="596">
        <f t="shared" si="10"/>
        <v>0</v>
      </c>
      <c r="F51" s="596">
        <f t="shared" si="10"/>
        <v>10.8</v>
      </c>
      <c r="G51" s="165">
        <f t="shared" si="10"/>
        <v>11.3</v>
      </c>
      <c r="H51" s="165">
        <f t="shared" si="10"/>
        <v>0</v>
      </c>
      <c r="I51" s="165">
        <f t="shared" si="10"/>
        <v>11.3</v>
      </c>
      <c r="J51" s="165">
        <f t="shared" si="10"/>
        <v>11.3</v>
      </c>
      <c r="K51" s="165">
        <f t="shared" si="10"/>
        <v>0</v>
      </c>
      <c r="L51" s="165">
        <f t="shared" si="10"/>
        <v>11.3</v>
      </c>
    </row>
    <row r="52" spans="1:12" ht="26.25" x14ac:dyDescent="0.25">
      <c r="A52" s="157"/>
      <c r="B52" s="157" t="s">
        <v>17</v>
      </c>
      <c r="C52" s="159" t="s">
        <v>18</v>
      </c>
      <c r="D52" s="596">
        <v>10.8</v>
      </c>
      <c r="E52" s="596"/>
      <c r="F52" s="596">
        <f>SUM(D52:E52)</f>
        <v>10.8</v>
      </c>
      <c r="G52" s="165">
        <v>11.3</v>
      </c>
      <c r="H52" s="165"/>
      <c r="I52" s="165">
        <f>SUM(G52:H52)</f>
        <v>11.3</v>
      </c>
      <c r="J52" s="165">
        <v>11.3</v>
      </c>
      <c r="K52" s="165"/>
      <c r="L52" s="165">
        <f>SUM(J52:K52)</f>
        <v>11.3</v>
      </c>
    </row>
    <row r="53" spans="1:12" ht="39" x14ac:dyDescent="0.25">
      <c r="A53" s="157" t="s">
        <v>52</v>
      </c>
      <c r="B53" s="157"/>
      <c r="C53" s="159" t="s">
        <v>453</v>
      </c>
      <c r="D53" s="596">
        <f>D54</f>
        <v>36.299999999999997</v>
      </c>
      <c r="E53" s="596"/>
      <c r="F53" s="596">
        <f>F54</f>
        <v>36.299999999999997</v>
      </c>
      <c r="G53" s="165">
        <f>G54</f>
        <v>2.6</v>
      </c>
      <c r="H53" s="165"/>
      <c r="I53" s="165">
        <f>I54</f>
        <v>2.6</v>
      </c>
      <c r="J53" s="165">
        <f>J54</f>
        <v>2.5</v>
      </c>
      <c r="K53" s="165"/>
      <c r="L53" s="165">
        <f>L54</f>
        <v>2.5</v>
      </c>
    </row>
    <row r="54" spans="1:12" ht="26.25" x14ac:dyDescent="0.25">
      <c r="A54" s="157"/>
      <c r="B54" s="157" t="s">
        <v>17</v>
      </c>
      <c r="C54" s="159" t="s">
        <v>18</v>
      </c>
      <c r="D54" s="596">
        <v>36.299999999999997</v>
      </c>
      <c r="E54" s="596"/>
      <c r="F54" s="596">
        <v>36.299999999999997</v>
      </c>
      <c r="G54" s="165">
        <v>2.6</v>
      </c>
      <c r="H54" s="165"/>
      <c r="I54" s="165">
        <v>2.6</v>
      </c>
      <c r="J54" s="165">
        <v>2.5</v>
      </c>
      <c r="K54" s="165"/>
      <c r="L54" s="165">
        <v>2.5</v>
      </c>
    </row>
    <row r="55" spans="1:12" x14ac:dyDescent="0.25">
      <c r="A55" s="157" t="s">
        <v>53</v>
      </c>
      <c r="B55" s="157"/>
      <c r="C55" s="159" t="s">
        <v>454</v>
      </c>
      <c r="D55" s="596">
        <f>D56+D57</f>
        <v>1295.9000000000001</v>
      </c>
      <c r="E55" s="596"/>
      <c r="F55" s="596">
        <f>F56+F57</f>
        <v>1295.9000000000001</v>
      </c>
      <c r="G55" s="165">
        <f>G56+G57</f>
        <v>1295.9000000000001</v>
      </c>
      <c r="H55" s="165"/>
      <c r="I55" s="165">
        <f>I56+I57</f>
        <v>1295.9000000000001</v>
      </c>
      <c r="J55" s="165">
        <f>J56+J57</f>
        <v>1295.9000000000001</v>
      </c>
      <c r="K55" s="165"/>
      <c r="L55" s="165">
        <f>L56+L57</f>
        <v>1295.9000000000001</v>
      </c>
    </row>
    <row r="56" spans="1:12" ht="51.75" x14ac:dyDescent="0.25">
      <c r="A56" s="157"/>
      <c r="B56" s="157" t="s">
        <v>30</v>
      </c>
      <c r="C56" s="159" t="s">
        <v>450</v>
      </c>
      <c r="D56" s="597">
        <v>1273.7</v>
      </c>
      <c r="E56" s="597"/>
      <c r="F56" s="597">
        <v>1273.7</v>
      </c>
      <c r="G56" s="40">
        <v>1295.9000000000001</v>
      </c>
      <c r="H56" s="40"/>
      <c r="I56" s="40">
        <v>1295.9000000000001</v>
      </c>
      <c r="J56" s="40">
        <v>1295.9000000000001</v>
      </c>
      <c r="K56" s="40"/>
      <c r="L56" s="40">
        <v>1295.9000000000001</v>
      </c>
    </row>
    <row r="57" spans="1:12" ht="26.25" x14ac:dyDescent="0.25">
      <c r="A57" s="157"/>
      <c r="B57" s="157" t="s">
        <v>17</v>
      </c>
      <c r="C57" s="159" t="s">
        <v>18</v>
      </c>
      <c r="D57" s="475">
        <v>22.2</v>
      </c>
      <c r="E57" s="475"/>
      <c r="F57" s="475">
        <v>22.2</v>
      </c>
      <c r="G57" s="40">
        <v>0</v>
      </c>
      <c r="H57" s="40"/>
      <c r="I57" s="40">
        <v>0</v>
      </c>
      <c r="J57" s="40">
        <v>0</v>
      </c>
      <c r="K57" s="40"/>
      <c r="L57" s="40">
        <v>0</v>
      </c>
    </row>
    <row r="58" spans="1:12" ht="26.25" x14ac:dyDescent="0.25">
      <c r="A58" s="157" t="s">
        <v>54</v>
      </c>
      <c r="B58" s="157"/>
      <c r="C58" s="159" t="s">
        <v>55</v>
      </c>
      <c r="D58" s="596">
        <f>SUM(D59:D60)</f>
        <v>952</v>
      </c>
      <c r="E58" s="596">
        <f>E59</f>
        <v>54.5</v>
      </c>
      <c r="F58" s="596">
        <f>SUM(F59:F60)</f>
        <v>1006.5</v>
      </c>
      <c r="G58" s="165">
        <f>SUM(G59:G60)</f>
        <v>981.3</v>
      </c>
      <c r="H58" s="165"/>
      <c r="I58" s="165">
        <f>SUM(I59:I60)</f>
        <v>981.3</v>
      </c>
      <c r="J58" s="165">
        <f>SUM(J59:J60)</f>
        <v>1014.2</v>
      </c>
      <c r="K58" s="165"/>
      <c r="L58" s="165">
        <f>SUM(L59:L60)</f>
        <v>1014.2</v>
      </c>
    </row>
    <row r="59" spans="1:12" ht="51.75" x14ac:dyDescent="0.25">
      <c r="A59" s="157"/>
      <c r="B59" s="157" t="s">
        <v>30</v>
      </c>
      <c r="C59" s="159" t="s">
        <v>450</v>
      </c>
      <c r="D59" s="482">
        <v>929.4</v>
      </c>
      <c r="E59" s="482">
        <v>54.5</v>
      </c>
      <c r="F59" s="482">
        <f>SUM(D59+E59)</f>
        <v>983.9</v>
      </c>
      <c r="G59" s="38">
        <v>981.3</v>
      </c>
      <c r="H59" s="38"/>
      <c r="I59" s="38">
        <v>981.3</v>
      </c>
      <c r="J59" s="38">
        <v>1014.2</v>
      </c>
      <c r="K59" s="38"/>
      <c r="L59" s="38">
        <v>1014.2</v>
      </c>
    </row>
    <row r="60" spans="1:12" ht="26.25" x14ac:dyDescent="0.25">
      <c r="A60" s="157"/>
      <c r="B60" s="157" t="s">
        <v>17</v>
      </c>
      <c r="C60" s="159" t="s">
        <v>18</v>
      </c>
      <c r="D60" s="482">
        <v>22.6</v>
      </c>
      <c r="E60" s="482"/>
      <c r="F60" s="482">
        <v>22.6</v>
      </c>
      <c r="G60" s="40">
        <v>0</v>
      </c>
      <c r="H60" s="40"/>
      <c r="I60" s="40">
        <v>0</v>
      </c>
      <c r="J60" s="40">
        <v>0</v>
      </c>
      <c r="K60" s="40"/>
      <c r="L60" s="40">
        <v>0</v>
      </c>
    </row>
    <row r="61" spans="1:12" ht="25.5" x14ac:dyDescent="0.25">
      <c r="A61" s="248" t="s">
        <v>50</v>
      </c>
      <c r="B61" s="27"/>
      <c r="C61" s="30" t="s">
        <v>1203</v>
      </c>
      <c r="D61" s="482"/>
      <c r="E61" s="597">
        <f>SUM(E62:E63)</f>
        <v>367.79999999999995</v>
      </c>
      <c r="F61" s="597">
        <f>SUM(F62:F63)</f>
        <v>367.79999999999995</v>
      </c>
      <c r="G61" s="40"/>
      <c r="H61" s="40"/>
      <c r="I61" s="40"/>
      <c r="J61" s="40"/>
      <c r="K61" s="40"/>
      <c r="L61" s="40"/>
    </row>
    <row r="62" spans="1:12" ht="51.75" x14ac:dyDescent="0.25">
      <c r="A62" s="248"/>
      <c r="B62" s="27" t="s">
        <v>30</v>
      </c>
      <c r="C62" s="26" t="s">
        <v>450</v>
      </c>
      <c r="D62" s="482"/>
      <c r="E62" s="597">
        <v>140.6</v>
      </c>
      <c r="F62" s="597">
        <v>140.6</v>
      </c>
      <c r="G62" s="40"/>
      <c r="H62" s="40"/>
      <c r="I62" s="40"/>
      <c r="J62" s="40"/>
      <c r="K62" s="40"/>
      <c r="L62" s="40"/>
    </row>
    <row r="63" spans="1:12" ht="25.5" x14ac:dyDescent="0.25">
      <c r="A63" s="248"/>
      <c r="B63" s="27" t="s">
        <v>17</v>
      </c>
      <c r="C63" s="30" t="s">
        <v>18</v>
      </c>
      <c r="D63" s="482"/>
      <c r="E63" s="597">
        <v>227.2</v>
      </c>
      <c r="F63" s="597">
        <v>227.2</v>
      </c>
      <c r="G63" s="40"/>
      <c r="H63" s="40"/>
      <c r="I63" s="40"/>
      <c r="J63" s="40"/>
      <c r="K63" s="40"/>
      <c r="L63" s="40"/>
    </row>
    <row r="64" spans="1:12" ht="26.25" x14ac:dyDescent="0.25">
      <c r="A64" s="151" t="s">
        <v>496</v>
      </c>
      <c r="B64" s="151"/>
      <c r="C64" s="152" t="s">
        <v>491</v>
      </c>
      <c r="D64" s="467">
        <f>D65</f>
        <v>114.5</v>
      </c>
      <c r="E64" s="467"/>
      <c r="F64" s="467">
        <f>F65</f>
        <v>114.5</v>
      </c>
      <c r="G64" s="153">
        <f>G65</f>
        <v>0</v>
      </c>
      <c r="H64" s="153"/>
      <c r="I64" s="153">
        <f>I65</f>
        <v>0</v>
      </c>
      <c r="J64" s="153">
        <f>J65</f>
        <v>0</v>
      </c>
      <c r="K64" s="153"/>
      <c r="L64" s="153">
        <f>L65</f>
        <v>0</v>
      </c>
    </row>
    <row r="65" spans="1:18" ht="26.25" x14ac:dyDescent="0.25">
      <c r="A65" s="154" t="s">
        <v>497</v>
      </c>
      <c r="B65" s="164"/>
      <c r="C65" s="155" t="s">
        <v>492</v>
      </c>
      <c r="D65" s="468">
        <f>D67+D69+D71</f>
        <v>114.5</v>
      </c>
      <c r="E65" s="468"/>
      <c r="F65" s="468">
        <f>F67+F69+F71</f>
        <v>114.5</v>
      </c>
      <c r="G65" s="156">
        <f>G67+G69+G71</f>
        <v>0</v>
      </c>
      <c r="H65" s="156"/>
      <c r="I65" s="156">
        <f>I67+I69+I71</f>
        <v>0</v>
      </c>
      <c r="J65" s="156">
        <f>J67+J69+J71</f>
        <v>0</v>
      </c>
      <c r="K65" s="156"/>
      <c r="L65" s="156">
        <f>L67+L69+L71</f>
        <v>0</v>
      </c>
    </row>
    <row r="66" spans="1:18" ht="26.25" x14ac:dyDescent="0.25">
      <c r="A66" s="157" t="s">
        <v>498</v>
      </c>
      <c r="B66" s="157"/>
      <c r="C66" s="162" t="s">
        <v>493</v>
      </c>
      <c r="D66" s="474">
        <f>D67</f>
        <v>16.7</v>
      </c>
      <c r="E66" s="474"/>
      <c r="F66" s="474">
        <f>F67</f>
        <v>16.7</v>
      </c>
      <c r="G66" s="165">
        <f>G67</f>
        <v>0</v>
      </c>
      <c r="H66" s="165"/>
      <c r="I66" s="165">
        <f>I67</f>
        <v>0</v>
      </c>
      <c r="J66" s="165">
        <f>J67</f>
        <v>0</v>
      </c>
      <c r="K66" s="165"/>
      <c r="L66" s="165">
        <f>L67</f>
        <v>0</v>
      </c>
    </row>
    <row r="67" spans="1:18" ht="26.25" x14ac:dyDescent="0.25">
      <c r="A67" s="157"/>
      <c r="B67" s="157" t="s">
        <v>17</v>
      </c>
      <c r="C67" s="159" t="s">
        <v>18</v>
      </c>
      <c r="D67" s="474">
        <v>16.7</v>
      </c>
      <c r="E67" s="474"/>
      <c r="F67" s="474">
        <v>16.7</v>
      </c>
      <c r="G67" s="165">
        <v>0</v>
      </c>
      <c r="H67" s="165"/>
      <c r="I67" s="165">
        <v>0</v>
      </c>
      <c r="J67" s="165">
        <v>0</v>
      </c>
      <c r="K67" s="165"/>
      <c r="L67" s="165">
        <v>0</v>
      </c>
    </row>
    <row r="68" spans="1:18" x14ac:dyDescent="0.25">
      <c r="A68" s="157" t="s">
        <v>499</v>
      </c>
      <c r="B68" s="157"/>
      <c r="C68" s="162" t="s">
        <v>494</v>
      </c>
      <c r="D68" s="474">
        <f>D69</f>
        <v>69.099999999999994</v>
      </c>
      <c r="E68" s="474"/>
      <c r="F68" s="474">
        <f>F69</f>
        <v>69.099999999999994</v>
      </c>
      <c r="G68" s="165">
        <f>G69</f>
        <v>0</v>
      </c>
      <c r="H68" s="165"/>
      <c r="I68" s="165">
        <f>I69</f>
        <v>0</v>
      </c>
      <c r="J68" s="165">
        <f>J69</f>
        <v>0</v>
      </c>
      <c r="K68" s="165"/>
      <c r="L68" s="165">
        <f>L69</f>
        <v>0</v>
      </c>
    </row>
    <row r="69" spans="1:18" ht="26.25" x14ac:dyDescent="0.25">
      <c r="A69" s="157"/>
      <c r="B69" s="157" t="s">
        <v>17</v>
      </c>
      <c r="C69" s="159" t="s">
        <v>18</v>
      </c>
      <c r="D69" s="474">
        <v>69.099999999999994</v>
      </c>
      <c r="E69" s="474"/>
      <c r="F69" s="474">
        <v>69.099999999999994</v>
      </c>
      <c r="G69" s="165">
        <v>0</v>
      </c>
      <c r="H69" s="165"/>
      <c r="I69" s="165">
        <v>0</v>
      </c>
      <c r="J69" s="165">
        <v>0</v>
      </c>
      <c r="K69" s="165"/>
      <c r="L69" s="165">
        <v>0</v>
      </c>
    </row>
    <row r="70" spans="1:18" x14ac:dyDescent="0.25">
      <c r="A70" s="157" t="s">
        <v>500</v>
      </c>
      <c r="B70" s="157"/>
      <c r="C70" s="162" t="s">
        <v>495</v>
      </c>
      <c r="D70" s="474">
        <f>D71</f>
        <v>28.7</v>
      </c>
      <c r="E70" s="474"/>
      <c r="F70" s="474">
        <f>F71</f>
        <v>28.7</v>
      </c>
      <c r="G70" s="165">
        <f>G71</f>
        <v>0</v>
      </c>
      <c r="H70" s="165"/>
      <c r="I70" s="165">
        <f>I71</f>
        <v>0</v>
      </c>
      <c r="J70" s="165">
        <f>J71</f>
        <v>0</v>
      </c>
      <c r="K70" s="165"/>
      <c r="L70" s="165">
        <f>L71</f>
        <v>0</v>
      </c>
    </row>
    <row r="71" spans="1:18" ht="26.25" x14ac:dyDescent="0.25">
      <c r="A71" s="157"/>
      <c r="B71" s="157" t="s">
        <v>17</v>
      </c>
      <c r="C71" s="159" t="s">
        <v>18</v>
      </c>
      <c r="D71" s="474">
        <v>28.7</v>
      </c>
      <c r="E71" s="474"/>
      <c r="F71" s="474">
        <v>28.7</v>
      </c>
      <c r="G71" s="165">
        <v>0</v>
      </c>
      <c r="H71" s="165"/>
      <c r="I71" s="165">
        <v>0</v>
      </c>
      <c r="J71" s="165">
        <v>0</v>
      </c>
      <c r="K71" s="165"/>
      <c r="L71" s="165">
        <v>0</v>
      </c>
    </row>
    <row r="72" spans="1:18" ht="26.25" x14ac:dyDescent="0.25">
      <c r="A72" s="148" t="s">
        <v>56</v>
      </c>
      <c r="B72" s="148"/>
      <c r="C72" s="166" t="s">
        <v>57</v>
      </c>
      <c r="D72" s="448">
        <f>D73+D89+D128+D144+D156+D173+D189</f>
        <v>463697.80000000005</v>
      </c>
      <c r="E72" s="448">
        <f>E73+E89+E128+E144+E156+E173+E189+E193</f>
        <v>6638.967999999998</v>
      </c>
      <c r="F72" s="448">
        <f>F73+F89+F128+F144+F156+F173+F189+F193</f>
        <v>470336.76799999998</v>
      </c>
      <c r="G72" s="150">
        <f t="shared" ref="G72:L72" si="11">G73+G89+G128+G144+G156+G173+G189</f>
        <v>459288.79999999993</v>
      </c>
      <c r="H72" s="150">
        <f t="shared" si="11"/>
        <v>1102.3</v>
      </c>
      <c r="I72" s="150">
        <f t="shared" si="11"/>
        <v>460391.09999999992</v>
      </c>
      <c r="J72" s="150">
        <f t="shared" si="11"/>
        <v>392695.30000000005</v>
      </c>
      <c r="K72" s="150">
        <f t="shared" si="11"/>
        <v>0</v>
      </c>
      <c r="L72" s="150">
        <f t="shared" si="11"/>
        <v>392695.30000000005</v>
      </c>
    </row>
    <row r="73" spans="1:18" x14ac:dyDescent="0.25">
      <c r="A73" s="151" t="s">
        <v>58</v>
      </c>
      <c r="B73" s="151"/>
      <c r="C73" s="152" t="s">
        <v>59</v>
      </c>
      <c r="D73" s="467">
        <f t="shared" ref="D73:L73" si="12">D74+D86</f>
        <v>98104.900000000009</v>
      </c>
      <c r="E73" s="467">
        <f t="shared" si="12"/>
        <v>1372.297</v>
      </c>
      <c r="F73" s="467">
        <f t="shared" si="12"/>
        <v>99477.197</v>
      </c>
      <c r="G73" s="153">
        <f t="shared" si="12"/>
        <v>97758.6</v>
      </c>
      <c r="H73" s="153">
        <f t="shared" si="12"/>
        <v>0</v>
      </c>
      <c r="I73" s="153">
        <f t="shared" si="12"/>
        <v>97758.6</v>
      </c>
      <c r="J73" s="153">
        <f t="shared" si="12"/>
        <v>94543.200000000012</v>
      </c>
      <c r="K73" s="153">
        <f t="shared" si="12"/>
        <v>0</v>
      </c>
      <c r="L73" s="153">
        <f t="shared" si="12"/>
        <v>94543.200000000012</v>
      </c>
    </row>
    <row r="74" spans="1:18" ht="39" x14ac:dyDescent="0.25">
      <c r="A74" s="154" t="s">
        <v>60</v>
      </c>
      <c r="B74" s="154"/>
      <c r="C74" s="155" t="s">
        <v>61</v>
      </c>
      <c r="D74" s="468">
        <f t="shared" ref="D74:L74" si="13">D75+D82+D84+D77+D80</f>
        <v>97814.1</v>
      </c>
      <c r="E74" s="468">
        <f t="shared" si="13"/>
        <v>1372.297</v>
      </c>
      <c r="F74" s="468">
        <f t="shared" si="13"/>
        <v>99186.396999999997</v>
      </c>
      <c r="G74" s="156">
        <f t="shared" si="13"/>
        <v>97467.8</v>
      </c>
      <c r="H74" s="156">
        <f t="shared" si="13"/>
        <v>0</v>
      </c>
      <c r="I74" s="156">
        <f t="shared" si="13"/>
        <v>97467.8</v>
      </c>
      <c r="J74" s="156">
        <f t="shared" si="13"/>
        <v>94252.400000000009</v>
      </c>
      <c r="K74" s="156">
        <f t="shared" si="13"/>
        <v>0</v>
      </c>
      <c r="L74" s="156">
        <f t="shared" si="13"/>
        <v>94252.400000000009</v>
      </c>
    </row>
    <row r="75" spans="1:18" ht="26.25" x14ac:dyDescent="0.25">
      <c r="A75" s="157" t="s">
        <v>62</v>
      </c>
      <c r="B75" s="158"/>
      <c r="C75" s="159" t="s">
        <v>63</v>
      </c>
      <c r="D75" s="469">
        <f>D76</f>
        <v>26822.5</v>
      </c>
      <c r="E75" s="469"/>
      <c r="F75" s="469">
        <f>F76</f>
        <v>26822.5</v>
      </c>
      <c r="G75" s="160">
        <f>G76</f>
        <v>26822.5</v>
      </c>
      <c r="H75" s="160"/>
      <c r="I75" s="160">
        <f>I76</f>
        <v>26822.5</v>
      </c>
      <c r="J75" s="160">
        <f>J76</f>
        <v>26822.5</v>
      </c>
      <c r="K75" s="160"/>
      <c r="L75" s="160">
        <f>L76</f>
        <v>26822.5</v>
      </c>
    </row>
    <row r="76" spans="1:18" ht="26.25" x14ac:dyDescent="0.25">
      <c r="A76" s="157"/>
      <c r="B76" s="157" t="s">
        <v>64</v>
      </c>
      <c r="C76" s="159" t="s">
        <v>65</v>
      </c>
      <c r="D76" s="469">
        <v>26822.5</v>
      </c>
      <c r="E76" s="469"/>
      <c r="F76" s="469">
        <v>26822.5</v>
      </c>
      <c r="G76" s="160">
        <v>26822.5</v>
      </c>
      <c r="H76" s="160"/>
      <c r="I76" s="160">
        <v>26822.5</v>
      </c>
      <c r="J76" s="160">
        <v>26822.5</v>
      </c>
      <c r="K76" s="160"/>
      <c r="L76" s="160">
        <v>26822.5</v>
      </c>
    </row>
    <row r="77" spans="1:18" ht="39" x14ac:dyDescent="0.25">
      <c r="A77" s="157" t="s">
        <v>66</v>
      </c>
      <c r="B77" s="157"/>
      <c r="C77" s="159" t="s">
        <v>914</v>
      </c>
      <c r="D77" s="470">
        <f t="shared" ref="D77:L77" si="14">SUM(D78+D79)</f>
        <v>66745.8</v>
      </c>
      <c r="E77" s="470">
        <f t="shared" si="14"/>
        <v>1232.5</v>
      </c>
      <c r="F77" s="469">
        <f t="shared" si="14"/>
        <v>67978.3</v>
      </c>
      <c r="G77" s="160">
        <f t="shared" si="14"/>
        <v>66814.100000000006</v>
      </c>
      <c r="H77" s="160">
        <f t="shared" si="14"/>
        <v>0</v>
      </c>
      <c r="I77" s="160">
        <f t="shared" si="14"/>
        <v>66814.100000000006</v>
      </c>
      <c r="J77" s="160">
        <f t="shared" si="14"/>
        <v>63910.3</v>
      </c>
      <c r="K77" s="160">
        <f t="shared" si="14"/>
        <v>0</v>
      </c>
      <c r="L77" s="160">
        <f t="shared" si="14"/>
        <v>63910.3</v>
      </c>
      <c r="M77" s="167"/>
      <c r="N77" s="167"/>
      <c r="O77" s="167"/>
      <c r="P77" s="167"/>
      <c r="Q77" s="167"/>
      <c r="R77" s="167"/>
    </row>
    <row r="78" spans="1:18" x14ac:dyDescent="0.25">
      <c r="A78" s="157"/>
      <c r="B78" s="157" t="s">
        <v>37</v>
      </c>
      <c r="C78" s="159" t="s">
        <v>38</v>
      </c>
      <c r="D78" s="470">
        <v>44.1</v>
      </c>
      <c r="E78" s="470"/>
      <c r="F78" s="469">
        <v>44.1</v>
      </c>
      <c r="G78" s="160">
        <v>44.1</v>
      </c>
      <c r="H78" s="160"/>
      <c r="I78" s="160">
        <v>44.1</v>
      </c>
      <c r="J78" s="160">
        <v>22</v>
      </c>
      <c r="K78" s="160"/>
      <c r="L78" s="160">
        <v>22</v>
      </c>
    </row>
    <row r="79" spans="1:18" ht="26.25" x14ac:dyDescent="0.25">
      <c r="A79" s="157"/>
      <c r="B79" s="157" t="s">
        <v>64</v>
      </c>
      <c r="C79" s="159" t="s">
        <v>65</v>
      </c>
      <c r="D79" s="470">
        <v>66701.7</v>
      </c>
      <c r="E79" s="470">
        <f>306.5+926</f>
        <v>1232.5</v>
      </c>
      <c r="F79" s="469">
        <f>SUM(D79:E79)</f>
        <v>67934.2</v>
      </c>
      <c r="G79" s="160">
        <v>66770</v>
      </c>
      <c r="H79" s="160"/>
      <c r="I79" s="160">
        <f>SUM(G79:H79)</f>
        <v>66770</v>
      </c>
      <c r="J79" s="160">
        <v>63888.3</v>
      </c>
      <c r="K79" s="160"/>
      <c r="L79" s="160">
        <f>SUM(J79:K79)</f>
        <v>63888.3</v>
      </c>
      <c r="N79" s="167"/>
      <c r="Q79" s="167"/>
    </row>
    <row r="80" spans="1:18" ht="39" x14ac:dyDescent="0.25">
      <c r="A80" s="157" t="s">
        <v>68</v>
      </c>
      <c r="B80" s="157"/>
      <c r="C80" s="159" t="s">
        <v>69</v>
      </c>
      <c r="D80" s="470">
        <v>2985.8</v>
      </c>
      <c r="E80" s="470">
        <f>E81</f>
        <v>139.797</v>
      </c>
      <c r="F80" s="469">
        <f>F81</f>
        <v>3125.5970000000002</v>
      </c>
      <c r="G80" s="160">
        <v>3831.2</v>
      </c>
      <c r="H80" s="160"/>
      <c r="I80" s="160">
        <v>3831.2</v>
      </c>
      <c r="J80" s="160">
        <v>3519.6</v>
      </c>
      <c r="K80" s="160"/>
      <c r="L80" s="160">
        <v>3519.6</v>
      </c>
    </row>
    <row r="81" spans="1:14" ht="26.25" x14ac:dyDescent="0.25">
      <c r="A81" s="157"/>
      <c r="B81" s="157" t="s">
        <v>64</v>
      </c>
      <c r="C81" s="159" t="s">
        <v>65</v>
      </c>
      <c r="D81" s="470">
        <v>2985.8</v>
      </c>
      <c r="E81" s="470">
        <v>139.797</v>
      </c>
      <c r="F81" s="469">
        <f>SUM(D81:E81)</f>
        <v>3125.5970000000002</v>
      </c>
      <c r="G81" s="160">
        <v>3831.2</v>
      </c>
      <c r="H81" s="160"/>
      <c r="I81" s="160">
        <v>3831.2</v>
      </c>
      <c r="J81" s="160">
        <v>3519.6</v>
      </c>
      <c r="K81" s="160"/>
      <c r="L81" s="160">
        <v>3519.6</v>
      </c>
    </row>
    <row r="82" spans="1:14" ht="26.25" x14ac:dyDescent="0.25">
      <c r="A82" s="157" t="s">
        <v>70</v>
      </c>
      <c r="B82" s="157"/>
      <c r="C82" s="159" t="s">
        <v>71</v>
      </c>
      <c r="D82" s="470">
        <f>D83</f>
        <v>1147.0999999999999</v>
      </c>
      <c r="E82" s="470">
        <f>E83</f>
        <v>0</v>
      </c>
      <c r="F82" s="469">
        <f>F83</f>
        <v>1147.0999999999999</v>
      </c>
      <c r="G82" s="160">
        <f>G83</f>
        <v>0</v>
      </c>
      <c r="H82" s="160"/>
      <c r="I82" s="160">
        <f>I83</f>
        <v>0</v>
      </c>
      <c r="J82" s="160">
        <f>J83</f>
        <v>0</v>
      </c>
      <c r="K82" s="160"/>
      <c r="L82" s="160">
        <f>L83</f>
        <v>0</v>
      </c>
    </row>
    <row r="83" spans="1:14" ht="26.25" x14ac:dyDescent="0.25">
      <c r="A83" s="157"/>
      <c r="B83" s="157" t="s">
        <v>64</v>
      </c>
      <c r="C83" s="159" t="s">
        <v>65</v>
      </c>
      <c r="D83" s="469">
        <v>1147.0999999999999</v>
      </c>
      <c r="E83" s="469"/>
      <c r="F83" s="469">
        <f>SUM(D83:E83)</f>
        <v>1147.0999999999999</v>
      </c>
      <c r="G83" s="160">
        <v>0</v>
      </c>
      <c r="H83" s="160"/>
      <c r="I83" s="160">
        <v>0</v>
      </c>
      <c r="J83" s="160">
        <v>0</v>
      </c>
      <c r="K83" s="160"/>
      <c r="L83" s="160">
        <v>0</v>
      </c>
    </row>
    <row r="84" spans="1:14" ht="26.25" x14ac:dyDescent="0.25">
      <c r="A84" s="192" t="s">
        <v>785</v>
      </c>
      <c r="B84" s="157"/>
      <c r="C84" s="159" t="s">
        <v>95</v>
      </c>
      <c r="D84" s="469">
        <f>D85</f>
        <v>112.9</v>
      </c>
      <c r="E84" s="469"/>
      <c r="F84" s="469">
        <f>F85</f>
        <v>112.9</v>
      </c>
      <c r="G84" s="160">
        <f>G85</f>
        <v>0</v>
      </c>
      <c r="H84" s="160"/>
      <c r="I84" s="160">
        <f>I85</f>
        <v>0</v>
      </c>
      <c r="J84" s="160">
        <f>J85</f>
        <v>0</v>
      </c>
      <c r="K84" s="160"/>
      <c r="L84" s="160">
        <f>L85</f>
        <v>0</v>
      </c>
      <c r="N84" s="168"/>
    </row>
    <row r="85" spans="1:14" ht="26.25" x14ac:dyDescent="0.25">
      <c r="A85" s="169"/>
      <c r="B85" s="157" t="s">
        <v>64</v>
      </c>
      <c r="C85" s="159" t="s">
        <v>65</v>
      </c>
      <c r="D85" s="469">
        <v>112.9</v>
      </c>
      <c r="E85" s="469"/>
      <c r="F85" s="469">
        <v>112.9</v>
      </c>
      <c r="G85" s="160">
        <v>0</v>
      </c>
      <c r="H85" s="160"/>
      <c r="I85" s="160">
        <v>0</v>
      </c>
      <c r="J85" s="160">
        <v>0</v>
      </c>
      <c r="K85" s="160"/>
      <c r="L85" s="160">
        <v>0</v>
      </c>
      <c r="N85" s="168"/>
    </row>
    <row r="86" spans="1:14" ht="39" x14ac:dyDescent="0.25">
      <c r="A86" s="154" t="s">
        <v>72</v>
      </c>
      <c r="B86" s="154"/>
      <c r="C86" s="155" t="s">
        <v>73</v>
      </c>
      <c r="D86" s="468">
        <f t="shared" ref="D86:L87" si="15">D87</f>
        <v>290.8</v>
      </c>
      <c r="E86" s="468"/>
      <c r="F86" s="468">
        <f t="shared" si="15"/>
        <v>290.8</v>
      </c>
      <c r="G86" s="156">
        <f t="shared" si="15"/>
        <v>290.8</v>
      </c>
      <c r="H86" s="156"/>
      <c r="I86" s="156">
        <f t="shared" si="15"/>
        <v>290.8</v>
      </c>
      <c r="J86" s="156">
        <f t="shared" si="15"/>
        <v>290.8</v>
      </c>
      <c r="K86" s="156"/>
      <c r="L86" s="156">
        <f t="shared" si="15"/>
        <v>290.8</v>
      </c>
    </row>
    <row r="87" spans="1:14" x14ac:dyDescent="0.25">
      <c r="A87" s="157" t="s">
        <v>74</v>
      </c>
      <c r="B87" s="157"/>
      <c r="C87" s="162" t="s">
        <v>75</v>
      </c>
      <c r="D87" s="469">
        <f t="shared" si="15"/>
        <v>290.8</v>
      </c>
      <c r="E87" s="469"/>
      <c r="F87" s="469">
        <f t="shared" si="15"/>
        <v>290.8</v>
      </c>
      <c r="G87" s="160">
        <f t="shared" si="15"/>
        <v>290.8</v>
      </c>
      <c r="H87" s="160"/>
      <c r="I87" s="160">
        <f t="shared" si="15"/>
        <v>290.8</v>
      </c>
      <c r="J87" s="160">
        <f t="shared" si="15"/>
        <v>290.8</v>
      </c>
      <c r="K87" s="160"/>
      <c r="L87" s="160">
        <f t="shared" si="15"/>
        <v>290.8</v>
      </c>
    </row>
    <row r="88" spans="1:14" ht="26.25" x14ac:dyDescent="0.25">
      <c r="A88" s="157"/>
      <c r="B88" s="157" t="s">
        <v>64</v>
      </c>
      <c r="C88" s="159" t="s">
        <v>65</v>
      </c>
      <c r="D88" s="469">
        <v>290.8</v>
      </c>
      <c r="E88" s="469"/>
      <c r="F88" s="469">
        <v>290.8</v>
      </c>
      <c r="G88" s="160">
        <v>290.8</v>
      </c>
      <c r="H88" s="160"/>
      <c r="I88" s="160">
        <v>290.8</v>
      </c>
      <c r="J88" s="160">
        <v>290.8</v>
      </c>
      <c r="K88" s="160"/>
      <c r="L88" s="160">
        <v>290.8</v>
      </c>
    </row>
    <row r="89" spans="1:14" ht="35.25" customHeight="1" x14ac:dyDescent="0.25">
      <c r="A89" s="151" t="s">
        <v>76</v>
      </c>
      <c r="B89" s="151"/>
      <c r="C89" s="152" t="s">
        <v>77</v>
      </c>
      <c r="D89" s="467">
        <f t="shared" ref="D89:L89" si="16">D90+D100+D119</f>
        <v>299608.90000000002</v>
      </c>
      <c r="E89" s="467">
        <f>E90+E100+E119+E125</f>
        <v>4750.2699999999995</v>
      </c>
      <c r="F89" s="467">
        <f>F90+F100+F119+F125</f>
        <v>304359.17</v>
      </c>
      <c r="G89" s="153">
        <f t="shared" si="16"/>
        <v>309078.59999999998</v>
      </c>
      <c r="H89" s="153">
        <f t="shared" si="16"/>
        <v>0</v>
      </c>
      <c r="I89" s="153">
        <f t="shared" si="16"/>
        <v>309078.59999999998</v>
      </c>
      <c r="J89" s="153">
        <f t="shared" si="16"/>
        <v>245828.2</v>
      </c>
      <c r="K89" s="153">
        <f t="shared" si="16"/>
        <v>0</v>
      </c>
      <c r="L89" s="153">
        <f t="shared" si="16"/>
        <v>245828.2</v>
      </c>
    </row>
    <row r="90" spans="1:14" ht="39" x14ac:dyDescent="0.25">
      <c r="A90" s="154" t="s">
        <v>78</v>
      </c>
      <c r="B90" s="154"/>
      <c r="C90" s="155" t="s">
        <v>79</v>
      </c>
      <c r="D90" s="468">
        <f>D91+D93+D96</f>
        <v>192920.5</v>
      </c>
      <c r="E90" s="468">
        <f>E94</f>
        <v>6887.08</v>
      </c>
      <c r="F90" s="468">
        <f>F91+F93+F96</f>
        <v>199807.58</v>
      </c>
      <c r="G90" s="156">
        <f>G91+G93+G96</f>
        <v>193158.6</v>
      </c>
      <c r="H90" s="156">
        <f>H91+H93+H96+H94</f>
        <v>0</v>
      </c>
      <c r="I90" s="156">
        <f>I91+I93+I96</f>
        <v>193158.6</v>
      </c>
      <c r="J90" s="156">
        <f>J91+J93+J96</f>
        <v>192013.5</v>
      </c>
      <c r="K90" s="156">
        <f>K91+K93+K96+K94</f>
        <v>0</v>
      </c>
      <c r="L90" s="156">
        <f>L91+L93+L96</f>
        <v>192013.5</v>
      </c>
    </row>
    <row r="91" spans="1:14" ht="26.25" x14ac:dyDescent="0.25">
      <c r="A91" s="157" t="s">
        <v>80</v>
      </c>
      <c r="B91" s="158"/>
      <c r="C91" s="159" t="s">
        <v>81</v>
      </c>
      <c r="D91" s="469">
        <f>D92</f>
        <v>28461.5</v>
      </c>
      <c r="E91" s="469"/>
      <c r="F91" s="469">
        <f>F92</f>
        <v>28461.5</v>
      </c>
      <c r="G91" s="160">
        <f>G92</f>
        <v>28461.5</v>
      </c>
      <c r="H91" s="160"/>
      <c r="I91" s="160">
        <f>I92</f>
        <v>28461.5</v>
      </c>
      <c r="J91" s="160">
        <f>J92</f>
        <v>28461.5</v>
      </c>
      <c r="K91" s="160"/>
      <c r="L91" s="160">
        <f>L92</f>
        <v>28461.5</v>
      </c>
    </row>
    <row r="92" spans="1:14" ht="26.25" x14ac:dyDescent="0.25">
      <c r="A92" s="157"/>
      <c r="B92" s="157" t="s">
        <v>64</v>
      </c>
      <c r="C92" s="159" t="s">
        <v>65</v>
      </c>
      <c r="D92" s="470">
        <v>28461.5</v>
      </c>
      <c r="E92" s="470"/>
      <c r="F92" s="469">
        <v>28461.5</v>
      </c>
      <c r="G92" s="160">
        <v>28461.5</v>
      </c>
      <c r="H92" s="160"/>
      <c r="I92" s="160">
        <v>28461.5</v>
      </c>
      <c r="J92" s="160">
        <v>28461.5</v>
      </c>
      <c r="K92" s="160"/>
      <c r="L92" s="160">
        <v>28461.5</v>
      </c>
    </row>
    <row r="93" spans="1:14" ht="26.25" x14ac:dyDescent="0.25">
      <c r="A93" s="157" t="s">
        <v>82</v>
      </c>
      <c r="B93" s="157"/>
      <c r="C93" s="159" t="s">
        <v>83</v>
      </c>
      <c r="D93" s="596">
        <f t="shared" ref="D93:L94" si="17">D94</f>
        <v>160026.4</v>
      </c>
      <c r="E93" s="597">
        <f>E94</f>
        <v>6887.08</v>
      </c>
      <c r="F93" s="474">
        <f t="shared" si="17"/>
        <v>166913.47999999998</v>
      </c>
      <c r="G93" s="165">
        <f t="shared" si="17"/>
        <v>160264.5</v>
      </c>
      <c r="H93" s="165"/>
      <c r="I93" s="165">
        <f t="shared" si="17"/>
        <v>160264.5</v>
      </c>
      <c r="J93" s="165">
        <f t="shared" si="17"/>
        <v>159119.4</v>
      </c>
      <c r="K93" s="165"/>
      <c r="L93" s="165">
        <f t="shared" si="17"/>
        <v>159119.4</v>
      </c>
    </row>
    <row r="94" spans="1:14" ht="51.75" x14ac:dyDescent="0.25">
      <c r="A94" s="449" t="s">
        <v>84</v>
      </c>
      <c r="B94" s="442"/>
      <c r="C94" s="159" t="s">
        <v>67</v>
      </c>
      <c r="D94" s="470">
        <f t="shared" si="17"/>
        <v>160026.4</v>
      </c>
      <c r="E94" s="482">
        <f>E95</f>
        <v>6887.08</v>
      </c>
      <c r="F94" s="470">
        <f t="shared" si="17"/>
        <v>166913.47999999998</v>
      </c>
      <c r="G94" s="160">
        <f t="shared" si="17"/>
        <v>160264.5</v>
      </c>
      <c r="H94" s="160">
        <f>H95</f>
        <v>0</v>
      </c>
      <c r="I94" s="160">
        <f t="shared" si="17"/>
        <v>160264.5</v>
      </c>
      <c r="J94" s="160">
        <f t="shared" si="17"/>
        <v>159119.4</v>
      </c>
      <c r="K94" s="160">
        <f>K95</f>
        <v>0</v>
      </c>
      <c r="L94" s="160">
        <f t="shared" si="17"/>
        <v>159119.4</v>
      </c>
    </row>
    <row r="95" spans="1:14" ht="26.25" x14ac:dyDescent="0.25">
      <c r="A95" s="157"/>
      <c r="B95" s="157" t="s">
        <v>64</v>
      </c>
      <c r="C95" s="159" t="s">
        <v>65</v>
      </c>
      <c r="D95" s="470">
        <v>160026.4</v>
      </c>
      <c r="E95" s="482">
        <f>5919.08+968</f>
        <v>6887.08</v>
      </c>
      <c r="F95" s="470">
        <f>SUM(D95:E95)</f>
        <v>166913.47999999998</v>
      </c>
      <c r="G95" s="160">
        <v>160264.5</v>
      </c>
      <c r="H95" s="160"/>
      <c r="I95" s="160">
        <f>SUM(G95:H95)</f>
        <v>160264.5</v>
      </c>
      <c r="J95" s="160">
        <v>159119.4</v>
      </c>
      <c r="K95" s="160"/>
      <c r="L95" s="160">
        <f>SUM(J95:K95)</f>
        <v>159119.4</v>
      </c>
    </row>
    <row r="96" spans="1:14" ht="77.25" x14ac:dyDescent="0.25">
      <c r="A96" s="157" t="s">
        <v>85</v>
      </c>
      <c r="B96" s="157"/>
      <c r="C96" s="159" t="s">
        <v>86</v>
      </c>
      <c r="D96" s="474">
        <f>D97</f>
        <v>4432.5999999999995</v>
      </c>
      <c r="E96" s="474"/>
      <c r="F96" s="474">
        <f>F97</f>
        <v>4432.5999999999995</v>
      </c>
      <c r="G96" s="165">
        <f>G97</f>
        <v>4432.5999999999995</v>
      </c>
      <c r="H96" s="165"/>
      <c r="I96" s="165">
        <f>I97</f>
        <v>4432.5999999999995</v>
      </c>
      <c r="J96" s="165">
        <f>J97</f>
        <v>4432.5999999999995</v>
      </c>
      <c r="K96" s="165"/>
      <c r="L96" s="165">
        <f>L97</f>
        <v>4432.5999999999995</v>
      </c>
    </row>
    <row r="97" spans="1:14" ht="26.25" x14ac:dyDescent="0.25">
      <c r="A97" s="157"/>
      <c r="B97" s="157" t="s">
        <v>64</v>
      </c>
      <c r="C97" s="159" t="s">
        <v>65</v>
      </c>
      <c r="D97" s="596">
        <f>D98+D99</f>
        <v>4432.5999999999995</v>
      </c>
      <c r="E97" s="596"/>
      <c r="F97" s="596">
        <f>F98+F99</f>
        <v>4432.5999999999995</v>
      </c>
      <c r="G97" s="165">
        <f>G98+G99</f>
        <v>4432.5999999999995</v>
      </c>
      <c r="H97" s="165"/>
      <c r="I97" s="165">
        <f>I98+I99</f>
        <v>4432.5999999999995</v>
      </c>
      <c r="J97" s="165">
        <f>J98+J99</f>
        <v>4432.5999999999995</v>
      </c>
      <c r="K97" s="165"/>
      <c r="L97" s="165">
        <f>L98+L99</f>
        <v>4432.5999999999995</v>
      </c>
    </row>
    <row r="98" spans="1:14" x14ac:dyDescent="0.25">
      <c r="A98" s="157"/>
      <c r="B98" s="157"/>
      <c r="C98" s="159" t="s">
        <v>87</v>
      </c>
      <c r="D98" s="470">
        <v>4100.2</v>
      </c>
      <c r="E98" s="470"/>
      <c r="F98" s="470">
        <v>4100.2</v>
      </c>
      <c r="G98" s="160">
        <v>4100.2</v>
      </c>
      <c r="H98" s="160"/>
      <c r="I98" s="160">
        <v>4100.2</v>
      </c>
      <c r="J98" s="160">
        <v>4100.2</v>
      </c>
      <c r="K98" s="160"/>
      <c r="L98" s="160">
        <v>4100.2</v>
      </c>
    </row>
    <row r="99" spans="1:14" x14ac:dyDescent="0.25">
      <c r="A99" s="157"/>
      <c r="B99" s="157"/>
      <c r="C99" s="159" t="s">
        <v>88</v>
      </c>
      <c r="D99" s="469">
        <v>332.4</v>
      </c>
      <c r="E99" s="469"/>
      <c r="F99" s="469">
        <v>332.4</v>
      </c>
      <c r="G99" s="160">
        <v>332.4</v>
      </c>
      <c r="H99" s="160"/>
      <c r="I99" s="160">
        <v>332.4</v>
      </c>
      <c r="J99" s="160">
        <v>332.4</v>
      </c>
      <c r="K99" s="160"/>
      <c r="L99" s="160">
        <v>332.4</v>
      </c>
    </row>
    <row r="100" spans="1:14" ht="39" x14ac:dyDescent="0.25">
      <c r="A100" s="154" t="s">
        <v>90</v>
      </c>
      <c r="B100" s="154"/>
      <c r="C100" s="155" t="s">
        <v>91</v>
      </c>
      <c r="D100" s="468">
        <f t="shared" ref="D100:L100" si="18">D101+D103+D105+D107+D113+D116+D109+D111</f>
        <v>44651.700000000004</v>
      </c>
      <c r="E100" s="468">
        <f t="shared" si="18"/>
        <v>-2274.1440000000002</v>
      </c>
      <c r="F100" s="468">
        <f t="shared" si="18"/>
        <v>42377.555999999997</v>
      </c>
      <c r="G100" s="156">
        <f t="shared" si="18"/>
        <v>43911.9</v>
      </c>
      <c r="H100" s="156">
        <f t="shared" si="18"/>
        <v>0</v>
      </c>
      <c r="I100" s="156">
        <f t="shared" si="18"/>
        <v>43911.9</v>
      </c>
      <c r="J100" s="156">
        <f t="shared" si="18"/>
        <v>43455.199999999997</v>
      </c>
      <c r="K100" s="156">
        <f t="shared" si="18"/>
        <v>0</v>
      </c>
      <c r="L100" s="156">
        <f t="shared" si="18"/>
        <v>43455.199999999997</v>
      </c>
    </row>
    <row r="101" spans="1:14" ht="26.25" x14ac:dyDescent="0.25">
      <c r="A101" s="157" t="s">
        <v>92</v>
      </c>
      <c r="B101" s="157"/>
      <c r="C101" s="159" t="s">
        <v>93</v>
      </c>
      <c r="D101" s="470">
        <f>D102</f>
        <v>5637.7</v>
      </c>
      <c r="E101" s="470">
        <f>E102</f>
        <v>177.4</v>
      </c>
      <c r="F101" s="470">
        <f>F102</f>
        <v>5815.0999999999995</v>
      </c>
      <c r="G101" s="160">
        <f>G102</f>
        <v>5637.7</v>
      </c>
      <c r="H101" s="160"/>
      <c r="I101" s="160">
        <f>I102</f>
        <v>5637.7</v>
      </c>
      <c r="J101" s="160">
        <f>J102</f>
        <v>5637.7</v>
      </c>
      <c r="K101" s="160"/>
      <c r="L101" s="160">
        <f>L102</f>
        <v>5637.7</v>
      </c>
    </row>
    <row r="102" spans="1:14" ht="26.25" x14ac:dyDescent="0.25">
      <c r="A102" s="157"/>
      <c r="B102" s="157" t="s">
        <v>64</v>
      </c>
      <c r="C102" s="159" t="s">
        <v>65</v>
      </c>
      <c r="D102" s="470">
        <v>5637.7</v>
      </c>
      <c r="E102" s="470">
        <v>177.4</v>
      </c>
      <c r="F102" s="470">
        <f>SUM(D102:E102)</f>
        <v>5815.0999999999995</v>
      </c>
      <c r="G102" s="160">
        <v>5637.7</v>
      </c>
      <c r="H102" s="160"/>
      <c r="I102" s="160">
        <v>5637.7</v>
      </c>
      <c r="J102" s="160">
        <v>5637.7</v>
      </c>
      <c r="K102" s="160"/>
      <c r="L102" s="160">
        <v>5637.7</v>
      </c>
    </row>
    <row r="103" spans="1:14" ht="26.25" x14ac:dyDescent="0.25">
      <c r="A103" s="449" t="s">
        <v>94</v>
      </c>
      <c r="B103" s="157"/>
      <c r="C103" s="159" t="s">
        <v>95</v>
      </c>
      <c r="D103" s="470">
        <f>D104</f>
        <v>969.1</v>
      </c>
      <c r="E103" s="470">
        <f>E104</f>
        <v>0</v>
      </c>
      <c r="F103" s="470">
        <f>F104</f>
        <v>969.1</v>
      </c>
      <c r="G103" s="160">
        <f>G104</f>
        <v>535.4</v>
      </c>
      <c r="H103" s="160"/>
      <c r="I103" s="160">
        <f>I104</f>
        <v>535.4</v>
      </c>
      <c r="J103" s="160">
        <f>J104</f>
        <v>535.4</v>
      </c>
      <c r="K103" s="160"/>
      <c r="L103" s="160">
        <f>L104</f>
        <v>535.4</v>
      </c>
    </row>
    <row r="104" spans="1:14" ht="26.25" x14ac:dyDescent="0.25">
      <c r="A104" s="157"/>
      <c r="B104" s="157" t="s">
        <v>64</v>
      </c>
      <c r="C104" s="159" t="s">
        <v>65</v>
      </c>
      <c r="D104" s="470">
        <v>969.1</v>
      </c>
      <c r="E104" s="470"/>
      <c r="F104" s="470">
        <f>SUM(D104:E104)</f>
        <v>969.1</v>
      </c>
      <c r="G104" s="160">
        <v>535.4</v>
      </c>
      <c r="H104" s="160"/>
      <c r="I104" s="160">
        <v>535.4</v>
      </c>
      <c r="J104" s="160">
        <v>535.4</v>
      </c>
      <c r="K104" s="160"/>
      <c r="L104" s="160">
        <v>535.4</v>
      </c>
      <c r="M104" s="170"/>
      <c r="N104" s="170"/>
    </row>
    <row r="105" spans="1:14" ht="39" x14ac:dyDescent="0.25">
      <c r="A105" s="157" t="s">
        <v>96</v>
      </c>
      <c r="B105" s="157"/>
      <c r="C105" s="159" t="s">
        <v>97</v>
      </c>
      <c r="D105" s="470">
        <f>D106</f>
        <v>288</v>
      </c>
      <c r="E105" s="470">
        <f>E106</f>
        <v>-13.8</v>
      </c>
      <c r="F105" s="470">
        <f>F106</f>
        <v>274.2</v>
      </c>
      <c r="G105" s="160">
        <f>G106</f>
        <v>288</v>
      </c>
      <c r="H105" s="160"/>
      <c r="I105" s="160">
        <f>I106</f>
        <v>288</v>
      </c>
      <c r="J105" s="160">
        <f>J106</f>
        <v>288</v>
      </c>
      <c r="K105" s="160"/>
      <c r="L105" s="160">
        <f>L106</f>
        <v>288</v>
      </c>
    </row>
    <row r="106" spans="1:14" ht="26.25" x14ac:dyDescent="0.25">
      <c r="A106" s="157"/>
      <c r="B106" s="157" t="s">
        <v>64</v>
      </c>
      <c r="C106" s="159" t="s">
        <v>65</v>
      </c>
      <c r="D106" s="470">
        <v>288</v>
      </c>
      <c r="E106" s="470">
        <v>-13.8</v>
      </c>
      <c r="F106" s="470">
        <f>SUM(D106:E106)</f>
        <v>274.2</v>
      </c>
      <c r="G106" s="160">
        <v>288</v>
      </c>
      <c r="H106" s="160"/>
      <c r="I106" s="160">
        <v>288</v>
      </c>
      <c r="J106" s="160">
        <v>288</v>
      </c>
      <c r="K106" s="160"/>
      <c r="L106" s="160">
        <v>288</v>
      </c>
    </row>
    <row r="107" spans="1:14" ht="26.25" x14ac:dyDescent="0.25">
      <c r="A107" s="157" t="s">
        <v>98</v>
      </c>
      <c r="B107" s="157"/>
      <c r="C107" s="159" t="s">
        <v>99</v>
      </c>
      <c r="D107" s="470">
        <f>D108</f>
        <v>271.60000000000002</v>
      </c>
      <c r="E107" s="470">
        <f>E108</f>
        <v>-80</v>
      </c>
      <c r="F107" s="470">
        <f>F108</f>
        <v>191.60000000000002</v>
      </c>
      <c r="G107" s="160">
        <f>G108</f>
        <v>271.60000000000002</v>
      </c>
      <c r="H107" s="160"/>
      <c r="I107" s="160">
        <f>I108</f>
        <v>271.60000000000002</v>
      </c>
      <c r="J107" s="160">
        <f>J108</f>
        <v>271.60000000000002</v>
      </c>
      <c r="K107" s="160"/>
      <c r="L107" s="160">
        <f>L108</f>
        <v>271.60000000000002</v>
      </c>
    </row>
    <row r="108" spans="1:14" ht="26.25" x14ac:dyDescent="0.25">
      <c r="A108" s="157"/>
      <c r="B108" s="157" t="s">
        <v>64</v>
      </c>
      <c r="C108" s="159" t="s">
        <v>65</v>
      </c>
      <c r="D108" s="470">
        <v>271.60000000000002</v>
      </c>
      <c r="E108" s="470">
        <v>-80</v>
      </c>
      <c r="F108" s="470">
        <f>SUM(D108:E108)</f>
        <v>191.60000000000002</v>
      </c>
      <c r="G108" s="160">
        <v>271.60000000000002</v>
      </c>
      <c r="H108" s="160"/>
      <c r="I108" s="160">
        <v>271.60000000000002</v>
      </c>
      <c r="J108" s="160">
        <v>271.60000000000002</v>
      </c>
      <c r="K108" s="160"/>
      <c r="L108" s="160">
        <v>271.60000000000002</v>
      </c>
    </row>
    <row r="109" spans="1:14" ht="25.5" x14ac:dyDescent="0.25">
      <c r="A109" s="171" t="s">
        <v>100</v>
      </c>
      <c r="B109" s="157"/>
      <c r="C109" s="28" t="s">
        <v>973</v>
      </c>
      <c r="D109" s="470">
        <f>SUM(D110)</f>
        <v>5545.5</v>
      </c>
      <c r="E109" s="470">
        <f>E110</f>
        <v>-933.8</v>
      </c>
      <c r="F109" s="470">
        <f>SUM(F110)</f>
        <v>4611.7</v>
      </c>
      <c r="G109" s="160">
        <f>SUM(G110)</f>
        <v>5923.9</v>
      </c>
      <c r="H109" s="160">
        <f>H110</f>
        <v>0</v>
      </c>
      <c r="I109" s="160">
        <f>SUM(I110)</f>
        <v>5923.9</v>
      </c>
      <c r="J109" s="160">
        <f>SUM(J110)</f>
        <v>5815.6</v>
      </c>
      <c r="K109" s="160">
        <f>K110</f>
        <v>0</v>
      </c>
      <c r="L109" s="160">
        <f>SUM(L110)</f>
        <v>5815.6</v>
      </c>
    </row>
    <row r="110" spans="1:14" ht="26.25" x14ac:dyDescent="0.25">
      <c r="A110" s="157"/>
      <c r="B110" s="157" t="s">
        <v>64</v>
      </c>
      <c r="C110" s="159" t="s">
        <v>65</v>
      </c>
      <c r="D110" s="470">
        <v>5545.5</v>
      </c>
      <c r="E110" s="470">
        <v>-933.8</v>
      </c>
      <c r="F110" s="470">
        <f>SUM(D110:E110)</f>
        <v>4611.7</v>
      </c>
      <c r="G110" s="160">
        <v>5923.9</v>
      </c>
      <c r="H110" s="160"/>
      <c r="I110" s="160">
        <f>SUM(G110:H110)</f>
        <v>5923.9</v>
      </c>
      <c r="J110" s="160">
        <v>5815.6</v>
      </c>
      <c r="K110" s="160"/>
      <c r="L110" s="160">
        <f>SUM(J110:K110)</f>
        <v>5815.6</v>
      </c>
    </row>
    <row r="111" spans="1:14" ht="26.25" x14ac:dyDescent="0.25">
      <c r="A111" s="171" t="s">
        <v>101</v>
      </c>
      <c r="B111" s="157"/>
      <c r="C111" s="159" t="s">
        <v>974</v>
      </c>
      <c r="D111" s="470">
        <f t="shared" ref="D111:L111" si="19">D112</f>
        <v>7084.8</v>
      </c>
      <c r="E111" s="470">
        <f t="shared" si="19"/>
        <v>-960.2</v>
      </c>
      <c r="F111" s="470">
        <f t="shared" si="19"/>
        <v>6124.6</v>
      </c>
      <c r="G111" s="160">
        <f t="shared" si="19"/>
        <v>7184</v>
      </c>
      <c r="H111" s="160">
        <f t="shared" si="19"/>
        <v>0</v>
      </c>
      <c r="I111" s="160">
        <f t="shared" si="19"/>
        <v>7184</v>
      </c>
      <c r="J111" s="160">
        <f t="shared" si="19"/>
        <v>7012.4</v>
      </c>
      <c r="K111" s="160">
        <f t="shared" si="19"/>
        <v>0</v>
      </c>
      <c r="L111" s="160">
        <f t="shared" si="19"/>
        <v>7012.4</v>
      </c>
    </row>
    <row r="112" spans="1:14" ht="26.25" x14ac:dyDescent="0.25">
      <c r="A112" s="157"/>
      <c r="B112" s="157" t="s">
        <v>64</v>
      </c>
      <c r="C112" s="159" t="s">
        <v>65</v>
      </c>
      <c r="D112" s="470">
        <v>7084.8</v>
      </c>
      <c r="E112" s="470">
        <v>-960.2</v>
      </c>
      <c r="F112" s="470">
        <f>SUM(D112:E112)</f>
        <v>6124.6</v>
      </c>
      <c r="G112" s="160">
        <v>7184</v>
      </c>
      <c r="H112" s="160"/>
      <c r="I112" s="160">
        <f>SUM(G112:H112)</f>
        <v>7184</v>
      </c>
      <c r="J112" s="160">
        <v>7012.4</v>
      </c>
      <c r="K112" s="160"/>
      <c r="L112" s="160">
        <f>SUM(J112:K112)</f>
        <v>7012.4</v>
      </c>
    </row>
    <row r="113" spans="1:12" ht="39" x14ac:dyDescent="0.25">
      <c r="A113" s="157" t="s">
        <v>442</v>
      </c>
      <c r="B113" s="157"/>
      <c r="C113" s="159" t="s">
        <v>976</v>
      </c>
      <c r="D113" s="470">
        <f>D114</f>
        <v>12128.1</v>
      </c>
      <c r="E113" s="470"/>
      <c r="F113" s="470">
        <f>F114</f>
        <v>12128.1</v>
      </c>
      <c r="G113" s="160">
        <f>G114</f>
        <v>12128.1</v>
      </c>
      <c r="H113" s="160"/>
      <c r="I113" s="160">
        <f>I114</f>
        <v>12128.1</v>
      </c>
      <c r="J113" s="160">
        <f>J114</f>
        <v>12128.1</v>
      </c>
      <c r="K113" s="160"/>
      <c r="L113" s="160">
        <f>L114</f>
        <v>12128.1</v>
      </c>
    </row>
    <row r="114" spans="1:12" ht="26.25" x14ac:dyDescent="0.25">
      <c r="A114" s="157"/>
      <c r="B114" s="157" t="s">
        <v>64</v>
      </c>
      <c r="C114" s="159" t="s">
        <v>65</v>
      </c>
      <c r="D114" s="470">
        <v>12128.1</v>
      </c>
      <c r="E114" s="470"/>
      <c r="F114" s="470">
        <v>12128.1</v>
      </c>
      <c r="G114" s="160">
        <v>12128.1</v>
      </c>
      <c r="H114" s="160"/>
      <c r="I114" s="160">
        <v>12128.1</v>
      </c>
      <c r="J114" s="160">
        <f>J115</f>
        <v>12128.1</v>
      </c>
      <c r="K114" s="160"/>
      <c r="L114" s="160">
        <f>L115</f>
        <v>12128.1</v>
      </c>
    </row>
    <row r="115" spans="1:12" x14ac:dyDescent="0.25">
      <c r="A115" s="157"/>
      <c r="B115" s="157"/>
      <c r="C115" s="159" t="s">
        <v>89</v>
      </c>
      <c r="D115" s="470">
        <v>12128.1</v>
      </c>
      <c r="E115" s="470"/>
      <c r="F115" s="470">
        <v>12128.1</v>
      </c>
      <c r="G115" s="160">
        <v>12128.1</v>
      </c>
      <c r="H115" s="160"/>
      <c r="I115" s="160">
        <v>12128.1</v>
      </c>
      <c r="J115" s="160">
        <v>12128.1</v>
      </c>
      <c r="K115" s="160"/>
      <c r="L115" s="160">
        <v>12128.1</v>
      </c>
    </row>
    <row r="116" spans="1:12" ht="26.25" x14ac:dyDescent="0.25">
      <c r="A116" s="157" t="s">
        <v>443</v>
      </c>
      <c r="B116" s="157"/>
      <c r="C116" s="159" t="s">
        <v>977</v>
      </c>
      <c r="D116" s="470">
        <f t="shared" ref="D116:L117" si="20">D117</f>
        <v>12726.9</v>
      </c>
      <c r="E116" s="470">
        <f>E117</f>
        <v>-463.74399999999997</v>
      </c>
      <c r="F116" s="470">
        <f>F117</f>
        <v>12263.155999999999</v>
      </c>
      <c r="G116" s="160">
        <f t="shared" si="20"/>
        <v>11943.2</v>
      </c>
      <c r="H116" s="160">
        <f>H117</f>
        <v>0</v>
      </c>
      <c r="I116" s="160">
        <f t="shared" si="20"/>
        <v>11943.199999999999</v>
      </c>
      <c r="J116" s="160">
        <f t="shared" si="20"/>
        <v>11766.4</v>
      </c>
      <c r="K116" s="160">
        <f>K117</f>
        <v>0</v>
      </c>
      <c r="L116" s="160">
        <f t="shared" si="20"/>
        <v>11766.4</v>
      </c>
    </row>
    <row r="117" spans="1:12" ht="26.25" x14ac:dyDescent="0.25">
      <c r="A117" s="157"/>
      <c r="B117" s="157" t="s">
        <v>64</v>
      </c>
      <c r="C117" s="159" t="s">
        <v>65</v>
      </c>
      <c r="D117" s="470">
        <v>12726.9</v>
      </c>
      <c r="E117" s="470">
        <f>E118</f>
        <v>-463.74399999999997</v>
      </c>
      <c r="F117" s="470">
        <f t="shared" si="20"/>
        <v>12263.155999999999</v>
      </c>
      <c r="G117" s="160">
        <v>11943.2</v>
      </c>
      <c r="H117" s="160"/>
      <c r="I117" s="160">
        <f t="shared" si="20"/>
        <v>11943.199999999999</v>
      </c>
      <c r="J117" s="160">
        <v>11766.4</v>
      </c>
      <c r="K117" s="160"/>
      <c r="L117" s="160">
        <f t="shared" si="20"/>
        <v>11766.4</v>
      </c>
    </row>
    <row r="118" spans="1:12" x14ac:dyDescent="0.25">
      <c r="A118" s="157"/>
      <c r="B118" s="157"/>
      <c r="C118" s="159" t="s">
        <v>89</v>
      </c>
      <c r="D118" s="470">
        <v>12726.9</v>
      </c>
      <c r="E118" s="470">
        <f>-0.039-463.705</f>
        <v>-463.74399999999997</v>
      </c>
      <c r="F118" s="482">
        <f>SUM(D118:E118)</f>
        <v>12263.155999999999</v>
      </c>
      <c r="G118" s="160">
        <v>11508.3</v>
      </c>
      <c r="H118" s="160">
        <v>434.9</v>
      </c>
      <c r="I118" s="160">
        <f>SUM(G118:H118)</f>
        <v>11943.199999999999</v>
      </c>
      <c r="J118" s="160">
        <v>11335.1</v>
      </c>
      <c r="K118" s="160">
        <v>431.3</v>
      </c>
      <c r="L118" s="160">
        <f>SUM(J118:K118)</f>
        <v>11766.4</v>
      </c>
    </row>
    <row r="119" spans="1:12" s="184" customFormat="1" ht="39" x14ac:dyDescent="0.25">
      <c r="A119" s="154" t="s">
        <v>1008</v>
      </c>
      <c r="B119" s="154"/>
      <c r="C119" s="155" t="s">
        <v>1011</v>
      </c>
      <c r="D119" s="468">
        <f t="shared" ref="D119:F120" si="21">D120</f>
        <v>62036.7</v>
      </c>
      <c r="E119" s="468">
        <f t="shared" si="21"/>
        <v>0</v>
      </c>
      <c r="F119" s="468">
        <f t="shared" si="21"/>
        <v>62036.7</v>
      </c>
      <c r="G119" s="156">
        <f t="shared" ref="G119:L120" si="22">G120</f>
        <v>72008.100000000006</v>
      </c>
      <c r="H119" s="156">
        <f>H120</f>
        <v>0</v>
      </c>
      <c r="I119" s="156">
        <f t="shared" si="22"/>
        <v>72008.100000000006</v>
      </c>
      <c r="J119" s="156">
        <f t="shared" si="22"/>
        <v>10359.5</v>
      </c>
      <c r="K119" s="156">
        <f t="shared" si="22"/>
        <v>0</v>
      </c>
      <c r="L119" s="156">
        <f t="shared" si="22"/>
        <v>10359.5</v>
      </c>
    </row>
    <row r="120" spans="1:12" s="184" customFormat="1" ht="25.5" x14ac:dyDescent="0.25">
      <c r="A120" s="157" t="s">
        <v>1009</v>
      </c>
      <c r="B120" s="157"/>
      <c r="C120" s="362" t="s">
        <v>1019</v>
      </c>
      <c r="D120" s="470">
        <f t="shared" si="21"/>
        <v>62036.7</v>
      </c>
      <c r="E120" s="470">
        <f t="shared" si="21"/>
        <v>0</v>
      </c>
      <c r="F120" s="470">
        <f t="shared" si="21"/>
        <v>62036.7</v>
      </c>
      <c r="G120" s="160">
        <f t="shared" si="22"/>
        <v>72008.100000000006</v>
      </c>
      <c r="H120" s="160">
        <f>H121</f>
        <v>0</v>
      </c>
      <c r="I120" s="160">
        <f t="shared" si="22"/>
        <v>72008.100000000006</v>
      </c>
      <c r="J120" s="160">
        <f t="shared" si="22"/>
        <v>10359.5</v>
      </c>
      <c r="K120" s="160">
        <f t="shared" si="22"/>
        <v>0</v>
      </c>
      <c r="L120" s="160">
        <f t="shared" si="22"/>
        <v>10359.5</v>
      </c>
    </row>
    <row r="121" spans="1:12" ht="26.25" x14ac:dyDescent="0.25">
      <c r="A121" s="157"/>
      <c r="B121" s="157" t="s">
        <v>186</v>
      </c>
      <c r="C121" s="26" t="s">
        <v>187</v>
      </c>
      <c r="D121" s="470">
        <f t="shared" ref="D121:I121" si="23">SUM(D122:D124)</f>
        <v>62036.7</v>
      </c>
      <c r="E121" s="470">
        <f t="shared" si="23"/>
        <v>0</v>
      </c>
      <c r="F121" s="470">
        <f t="shared" si="23"/>
        <v>62036.7</v>
      </c>
      <c r="G121" s="160">
        <f t="shared" si="23"/>
        <v>72008.100000000006</v>
      </c>
      <c r="H121" s="160">
        <f>SUM(H122:H124)</f>
        <v>0</v>
      </c>
      <c r="I121" s="160">
        <f t="shared" si="23"/>
        <v>72008.100000000006</v>
      </c>
      <c r="J121" s="160">
        <f>J122+J123</f>
        <v>10359.5</v>
      </c>
      <c r="K121" s="160">
        <f>SUM(K122:K124)</f>
        <v>0</v>
      </c>
      <c r="L121" s="160">
        <f>SUM(L122:L124)</f>
        <v>10359.5</v>
      </c>
    </row>
    <row r="122" spans="1:12" x14ac:dyDescent="0.25">
      <c r="A122" s="157"/>
      <c r="B122" s="157"/>
      <c r="C122" s="26" t="s">
        <v>1150</v>
      </c>
      <c r="D122" s="470">
        <v>57131.1</v>
      </c>
      <c r="E122" s="470">
        <v>-0.04</v>
      </c>
      <c r="F122" s="470">
        <f>SUM(D122:E122)</f>
        <v>57131.06</v>
      </c>
      <c r="G122" s="160">
        <v>50000</v>
      </c>
      <c r="H122" s="160"/>
      <c r="I122" s="160">
        <f>SUM(G122:H122)</f>
        <v>50000</v>
      </c>
      <c r="J122" s="160">
        <v>0</v>
      </c>
      <c r="K122" s="160"/>
      <c r="L122" s="160">
        <f>SUM(K122)</f>
        <v>0</v>
      </c>
    </row>
    <row r="123" spans="1:12" x14ac:dyDescent="0.25">
      <c r="A123" s="157"/>
      <c r="B123" s="157"/>
      <c r="C123" s="26" t="s">
        <v>1151</v>
      </c>
      <c r="D123" s="470"/>
      <c r="E123" s="470"/>
      <c r="F123" s="470"/>
      <c r="G123" s="160">
        <v>8338.9</v>
      </c>
      <c r="H123" s="160"/>
      <c r="I123" s="160">
        <v>8338.9</v>
      </c>
      <c r="J123" s="160">
        <v>10359.5</v>
      </c>
      <c r="K123" s="160"/>
      <c r="L123" s="160">
        <v>10359.5</v>
      </c>
    </row>
    <row r="124" spans="1:12" x14ac:dyDescent="0.25">
      <c r="A124" s="157"/>
      <c r="B124" s="157"/>
      <c r="C124" s="26" t="s">
        <v>192</v>
      </c>
      <c r="D124" s="470">
        <v>4905.6000000000004</v>
      </c>
      <c r="E124" s="470">
        <v>0.04</v>
      </c>
      <c r="F124" s="470">
        <f>SUM(D124:E124)</f>
        <v>4905.6400000000003</v>
      </c>
      <c r="G124" s="160">
        <v>13669.2</v>
      </c>
      <c r="H124" s="160"/>
      <c r="I124" s="160">
        <f>SUM(G124:H124)</f>
        <v>13669.2</v>
      </c>
      <c r="J124" s="160">
        <v>0</v>
      </c>
      <c r="K124" s="160"/>
      <c r="L124" s="160">
        <v>0</v>
      </c>
    </row>
    <row r="125" spans="1:12" ht="32.25" customHeight="1" x14ac:dyDescent="0.25">
      <c r="A125" s="154" t="s">
        <v>1217</v>
      </c>
      <c r="B125" s="164"/>
      <c r="C125" s="540" t="s">
        <v>1218</v>
      </c>
      <c r="D125" s="468"/>
      <c r="E125" s="468">
        <f>E126</f>
        <v>137.334</v>
      </c>
      <c r="F125" s="468">
        <f>F126</f>
        <v>137.334</v>
      </c>
      <c r="G125" s="156"/>
      <c r="H125" s="156"/>
      <c r="I125" s="156"/>
      <c r="J125" s="156"/>
      <c r="K125" s="156"/>
      <c r="L125" s="156"/>
    </row>
    <row r="126" spans="1:12" ht="39" x14ac:dyDescent="0.25">
      <c r="A126" s="520" t="s">
        <v>1240</v>
      </c>
      <c r="B126" s="520"/>
      <c r="C126" s="26" t="s">
        <v>1220</v>
      </c>
      <c r="D126" s="470">
        <v>0</v>
      </c>
      <c r="E126" s="470">
        <f>E127</f>
        <v>137.334</v>
      </c>
      <c r="F126" s="470">
        <f>F127</f>
        <v>137.334</v>
      </c>
      <c r="G126" s="160"/>
      <c r="H126" s="160"/>
      <c r="I126" s="160"/>
      <c r="J126" s="160"/>
      <c r="K126" s="160"/>
      <c r="L126" s="160"/>
    </row>
    <row r="127" spans="1:12" ht="26.25" x14ac:dyDescent="0.25">
      <c r="A127" s="520"/>
      <c r="B127" s="520" t="s">
        <v>64</v>
      </c>
      <c r="C127" s="159" t="s">
        <v>65</v>
      </c>
      <c r="D127" s="470">
        <v>0</v>
      </c>
      <c r="E127" s="470">
        <v>137.334</v>
      </c>
      <c r="F127" s="470">
        <v>137.334</v>
      </c>
      <c r="G127" s="160"/>
      <c r="H127" s="160"/>
      <c r="I127" s="160"/>
      <c r="J127" s="160"/>
      <c r="K127" s="160"/>
      <c r="L127" s="160"/>
    </row>
    <row r="128" spans="1:12" ht="33.75" customHeight="1" x14ac:dyDescent="0.25">
      <c r="A128" s="151" t="s">
        <v>103</v>
      </c>
      <c r="B128" s="151"/>
      <c r="C128" s="152" t="s">
        <v>104</v>
      </c>
      <c r="D128" s="467">
        <f>D129</f>
        <v>29542.699999999997</v>
      </c>
      <c r="E128" s="467">
        <f>E129</f>
        <v>0</v>
      </c>
      <c r="F128" s="467">
        <f>F129</f>
        <v>29542.699999999997</v>
      </c>
      <c r="G128" s="153">
        <f>G129</f>
        <v>28516.899999999998</v>
      </c>
      <c r="H128" s="153"/>
      <c r="I128" s="153">
        <f>I129</f>
        <v>28516.899999999998</v>
      </c>
      <c r="J128" s="153">
        <f>J129</f>
        <v>28516.899999999998</v>
      </c>
      <c r="K128" s="153"/>
      <c r="L128" s="153">
        <f>L129</f>
        <v>28516.899999999998</v>
      </c>
    </row>
    <row r="129" spans="1:12" ht="26.25" x14ac:dyDescent="0.25">
      <c r="A129" s="154" t="s">
        <v>105</v>
      </c>
      <c r="B129" s="164"/>
      <c r="C129" s="155" t="s">
        <v>106</v>
      </c>
      <c r="D129" s="468">
        <f>D130+D132+D134+D136+D138+D140+D142</f>
        <v>29542.699999999997</v>
      </c>
      <c r="E129" s="468">
        <f>E130+E132+E134+E136+E138+E140+E142</f>
        <v>0</v>
      </c>
      <c r="F129" s="468">
        <f>F130+F132+F134+F136+F138+F140+F142</f>
        <v>29542.699999999997</v>
      </c>
      <c r="G129" s="156">
        <f>G130+G132+G134+G136+G138</f>
        <v>28516.899999999998</v>
      </c>
      <c r="H129" s="156"/>
      <c r="I129" s="156">
        <f>I130+I132+I134+I136+I138</f>
        <v>28516.899999999998</v>
      </c>
      <c r="J129" s="156">
        <f>J130+J132+J134+J136+J138</f>
        <v>28516.899999999998</v>
      </c>
      <c r="K129" s="156"/>
      <c r="L129" s="156">
        <f>L130+L132+L134+L136+L138</f>
        <v>28516.899999999998</v>
      </c>
    </row>
    <row r="130" spans="1:12" ht="26.25" x14ac:dyDescent="0.25">
      <c r="A130" s="157" t="s">
        <v>107</v>
      </c>
      <c r="B130" s="158"/>
      <c r="C130" s="159" t="s">
        <v>108</v>
      </c>
      <c r="D130" s="469">
        <f>D131</f>
        <v>17951.3</v>
      </c>
      <c r="E130" s="470">
        <f>E131</f>
        <v>0</v>
      </c>
      <c r="F130" s="469">
        <f>F131</f>
        <v>17951.3</v>
      </c>
      <c r="G130" s="160">
        <f>G131</f>
        <v>17666.599999999999</v>
      </c>
      <c r="H130" s="160"/>
      <c r="I130" s="160">
        <f>I131</f>
        <v>17666.599999999999</v>
      </c>
      <c r="J130" s="160">
        <f>J131</f>
        <v>17666.599999999999</v>
      </c>
      <c r="K130" s="160"/>
      <c r="L130" s="160">
        <f>L131</f>
        <v>17666.599999999999</v>
      </c>
    </row>
    <row r="131" spans="1:12" ht="26.25" x14ac:dyDescent="0.25">
      <c r="A131" s="157"/>
      <c r="B131" s="157" t="s">
        <v>64</v>
      </c>
      <c r="C131" s="159" t="s">
        <v>65</v>
      </c>
      <c r="D131" s="469">
        <v>17951.3</v>
      </c>
      <c r="E131" s="470"/>
      <c r="F131" s="469">
        <f>SUM(D131:E131)</f>
        <v>17951.3</v>
      </c>
      <c r="G131" s="160">
        <f t="shared" ref="G131:L131" si="24">18449.3-782.7</f>
        <v>17666.599999999999</v>
      </c>
      <c r="H131" s="160"/>
      <c r="I131" s="160">
        <f t="shared" si="24"/>
        <v>17666.599999999999</v>
      </c>
      <c r="J131" s="160">
        <f t="shared" si="24"/>
        <v>17666.599999999999</v>
      </c>
      <c r="K131" s="160"/>
      <c r="L131" s="160">
        <f t="shared" si="24"/>
        <v>17666.599999999999</v>
      </c>
    </row>
    <row r="132" spans="1:12" ht="26.25" x14ac:dyDescent="0.25">
      <c r="A132" s="157" t="s">
        <v>109</v>
      </c>
      <c r="B132" s="158"/>
      <c r="C132" s="159" t="s">
        <v>110</v>
      </c>
      <c r="D132" s="469">
        <f>D133</f>
        <v>10973.5</v>
      </c>
      <c r="E132" s="470">
        <f>E133</f>
        <v>0</v>
      </c>
      <c r="F132" s="469">
        <f>F133</f>
        <v>10973.5</v>
      </c>
      <c r="G132" s="160">
        <f>G133</f>
        <v>10240.700000000001</v>
      </c>
      <c r="H132" s="160"/>
      <c r="I132" s="160">
        <f>I133</f>
        <v>10240.700000000001</v>
      </c>
      <c r="J132" s="160">
        <f>J133</f>
        <v>10240.700000000001</v>
      </c>
      <c r="K132" s="160"/>
      <c r="L132" s="160">
        <f>L133</f>
        <v>10240.700000000001</v>
      </c>
    </row>
    <row r="133" spans="1:12" ht="26.25" x14ac:dyDescent="0.25">
      <c r="A133" s="157"/>
      <c r="B133" s="157" t="s">
        <v>64</v>
      </c>
      <c r="C133" s="159" t="s">
        <v>65</v>
      </c>
      <c r="D133" s="469">
        <v>10973.5</v>
      </c>
      <c r="E133" s="470"/>
      <c r="F133" s="469">
        <f>SUM(D133:E133)</f>
        <v>10973.5</v>
      </c>
      <c r="G133" s="160">
        <f t="shared" ref="G133:L133" si="25">10533.5-292.8</f>
        <v>10240.700000000001</v>
      </c>
      <c r="H133" s="160"/>
      <c r="I133" s="160">
        <f t="shared" si="25"/>
        <v>10240.700000000001</v>
      </c>
      <c r="J133" s="160">
        <f t="shared" si="25"/>
        <v>10240.700000000001</v>
      </c>
      <c r="K133" s="160"/>
      <c r="L133" s="160">
        <f t="shared" si="25"/>
        <v>10240.700000000001</v>
      </c>
    </row>
    <row r="134" spans="1:12" x14ac:dyDescent="0.25">
      <c r="A134" s="157" t="s">
        <v>111</v>
      </c>
      <c r="B134" s="157"/>
      <c r="C134" s="159" t="s">
        <v>112</v>
      </c>
      <c r="D134" s="469">
        <f>D135</f>
        <v>278.2</v>
      </c>
      <c r="E134" s="469"/>
      <c r="F134" s="469">
        <f>F135</f>
        <v>278.2</v>
      </c>
      <c r="G134" s="160">
        <f>G135</f>
        <v>278.2</v>
      </c>
      <c r="H134" s="160"/>
      <c r="I134" s="160">
        <f>I135</f>
        <v>278.2</v>
      </c>
      <c r="J134" s="160">
        <f>J135</f>
        <v>278.2</v>
      </c>
      <c r="K134" s="160"/>
      <c r="L134" s="160">
        <f>L135</f>
        <v>278.2</v>
      </c>
    </row>
    <row r="135" spans="1:12" ht="26.25" x14ac:dyDescent="0.25">
      <c r="A135" s="157"/>
      <c r="B135" s="157" t="s">
        <v>64</v>
      </c>
      <c r="C135" s="159" t="s">
        <v>65</v>
      </c>
      <c r="D135" s="469">
        <v>278.2</v>
      </c>
      <c r="E135" s="469"/>
      <c r="F135" s="469">
        <v>278.2</v>
      </c>
      <c r="G135" s="160">
        <v>278.2</v>
      </c>
      <c r="H135" s="160"/>
      <c r="I135" s="160">
        <v>278.2</v>
      </c>
      <c r="J135" s="160">
        <v>278.2</v>
      </c>
      <c r="K135" s="160"/>
      <c r="L135" s="160">
        <v>278.2</v>
      </c>
    </row>
    <row r="136" spans="1:12" x14ac:dyDescent="0.25">
      <c r="A136" s="157" t="s">
        <v>113</v>
      </c>
      <c r="B136" s="157"/>
      <c r="C136" s="159" t="s">
        <v>114</v>
      </c>
      <c r="D136" s="469">
        <f>D137</f>
        <v>100.1</v>
      </c>
      <c r="E136" s="469"/>
      <c r="F136" s="469">
        <f>F137</f>
        <v>100.1</v>
      </c>
      <c r="G136" s="160">
        <f>G137</f>
        <v>100.1</v>
      </c>
      <c r="H136" s="160"/>
      <c r="I136" s="160">
        <f>I137</f>
        <v>100.1</v>
      </c>
      <c r="J136" s="160">
        <f>J137</f>
        <v>100.1</v>
      </c>
      <c r="K136" s="160"/>
      <c r="L136" s="160">
        <f>L137</f>
        <v>100.1</v>
      </c>
    </row>
    <row r="137" spans="1:12" ht="26.25" x14ac:dyDescent="0.25">
      <c r="A137" s="157"/>
      <c r="B137" s="157" t="s">
        <v>64</v>
      </c>
      <c r="C137" s="159" t="s">
        <v>65</v>
      </c>
      <c r="D137" s="469">
        <v>100.1</v>
      </c>
      <c r="E137" s="469"/>
      <c r="F137" s="469">
        <v>100.1</v>
      </c>
      <c r="G137" s="160">
        <v>100.1</v>
      </c>
      <c r="H137" s="160"/>
      <c r="I137" s="160">
        <v>100.1</v>
      </c>
      <c r="J137" s="160">
        <v>100.1</v>
      </c>
      <c r="K137" s="160"/>
      <c r="L137" s="160">
        <v>100.1</v>
      </c>
    </row>
    <row r="138" spans="1:12" x14ac:dyDescent="0.25">
      <c r="A138" s="449" t="s">
        <v>786</v>
      </c>
      <c r="B138" s="157"/>
      <c r="C138" s="159" t="s">
        <v>116</v>
      </c>
      <c r="D138" s="470">
        <f>D139</f>
        <v>109.6</v>
      </c>
      <c r="E138" s="470"/>
      <c r="F138" s="470">
        <f>F139</f>
        <v>109.6</v>
      </c>
      <c r="G138" s="160">
        <f>G139</f>
        <v>231.3</v>
      </c>
      <c r="H138" s="160"/>
      <c r="I138" s="160">
        <f>I139</f>
        <v>231.3</v>
      </c>
      <c r="J138" s="160">
        <f>J139</f>
        <v>231.3</v>
      </c>
      <c r="K138" s="160"/>
      <c r="L138" s="160">
        <f>L139</f>
        <v>231.3</v>
      </c>
    </row>
    <row r="139" spans="1:12" ht="26.25" x14ac:dyDescent="0.25">
      <c r="A139" s="157"/>
      <c r="B139" s="157" t="s">
        <v>64</v>
      </c>
      <c r="C139" s="159" t="s">
        <v>65</v>
      </c>
      <c r="D139" s="470">
        <v>109.6</v>
      </c>
      <c r="E139" s="470"/>
      <c r="F139" s="470">
        <f>SUM(D139:E139)</f>
        <v>109.6</v>
      </c>
      <c r="G139" s="160">
        <v>231.3</v>
      </c>
      <c r="H139" s="160"/>
      <c r="I139" s="160">
        <v>231.3</v>
      </c>
      <c r="J139" s="160">
        <v>231.3</v>
      </c>
      <c r="K139" s="160"/>
      <c r="L139" s="160">
        <v>231.3</v>
      </c>
    </row>
    <row r="140" spans="1:12" ht="26.25" x14ac:dyDescent="0.25">
      <c r="A140" s="157" t="s">
        <v>787</v>
      </c>
      <c r="B140" s="157"/>
      <c r="C140" s="159" t="s">
        <v>741</v>
      </c>
      <c r="D140" s="469">
        <f>D141</f>
        <v>60</v>
      </c>
      <c r="E140" s="469"/>
      <c r="F140" s="469">
        <f>F141</f>
        <v>60</v>
      </c>
      <c r="G140" s="160">
        <f>G141</f>
        <v>0</v>
      </c>
      <c r="H140" s="160"/>
      <c r="I140" s="160">
        <f>I141</f>
        <v>0</v>
      </c>
      <c r="J140" s="160">
        <f>J141</f>
        <v>0</v>
      </c>
      <c r="K140" s="160"/>
      <c r="L140" s="160">
        <f>L141</f>
        <v>0</v>
      </c>
    </row>
    <row r="141" spans="1:12" ht="26.25" x14ac:dyDescent="0.25">
      <c r="A141" s="157"/>
      <c r="B141" s="157" t="s">
        <v>64</v>
      </c>
      <c r="C141" s="159" t="s">
        <v>65</v>
      </c>
      <c r="D141" s="469">
        <f>58.5+1.5</f>
        <v>60</v>
      </c>
      <c r="E141" s="469"/>
      <c r="F141" s="469">
        <f>58.5+1.5</f>
        <v>60</v>
      </c>
      <c r="G141" s="160">
        <v>0</v>
      </c>
      <c r="H141" s="160"/>
      <c r="I141" s="160">
        <v>0</v>
      </c>
      <c r="J141" s="160">
        <v>0</v>
      </c>
      <c r="K141" s="160"/>
      <c r="L141" s="160">
        <v>0</v>
      </c>
    </row>
    <row r="142" spans="1:12" ht="39" x14ac:dyDescent="0.25">
      <c r="A142" s="157" t="s">
        <v>788</v>
      </c>
      <c r="B142" s="157"/>
      <c r="C142" s="159" t="s">
        <v>253</v>
      </c>
      <c r="D142" s="469">
        <f>D143</f>
        <v>70</v>
      </c>
      <c r="E142" s="469"/>
      <c r="F142" s="469">
        <f>F143</f>
        <v>70</v>
      </c>
      <c r="G142" s="160">
        <f>G143</f>
        <v>0</v>
      </c>
      <c r="H142" s="160"/>
      <c r="I142" s="160">
        <f>I143</f>
        <v>0</v>
      </c>
      <c r="J142" s="160">
        <f>J143</f>
        <v>0</v>
      </c>
      <c r="K142" s="160"/>
      <c r="L142" s="160">
        <f>L143</f>
        <v>0</v>
      </c>
    </row>
    <row r="143" spans="1:12" ht="26.25" x14ac:dyDescent="0.25">
      <c r="A143" s="157"/>
      <c r="B143" s="157" t="s">
        <v>64</v>
      </c>
      <c r="C143" s="159" t="s">
        <v>65</v>
      </c>
      <c r="D143" s="469">
        <v>70</v>
      </c>
      <c r="E143" s="469"/>
      <c r="F143" s="469">
        <v>70</v>
      </c>
      <c r="G143" s="160">
        <v>0</v>
      </c>
      <c r="H143" s="160"/>
      <c r="I143" s="160">
        <v>0</v>
      </c>
      <c r="J143" s="160">
        <v>0</v>
      </c>
      <c r="K143" s="160"/>
      <c r="L143" s="160">
        <v>0</v>
      </c>
    </row>
    <row r="144" spans="1:12" ht="26.25" x14ac:dyDescent="0.25">
      <c r="A144" s="151" t="s">
        <v>117</v>
      </c>
      <c r="B144" s="151"/>
      <c r="C144" s="152" t="s">
        <v>118</v>
      </c>
      <c r="D144" s="467">
        <f t="shared" ref="D144:L144" si="26">D145</f>
        <v>5896.3</v>
      </c>
      <c r="E144" s="467">
        <f t="shared" si="26"/>
        <v>-83.6</v>
      </c>
      <c r="F144" s="467">
        <f t="shared" si="26"/>
        <v>5812.7</v>
      </c>
      <c r="G144" s="153">
        <f t="shared" si="26"/>
        <v>5895.6</v>
      </c>
      <c r="H144" s="153">
        <f t="shared" si="26"/>
        <v>0</v>
      </c>
      <c r="I144" s="153">
        <f t="shared" si="26"/>
        <v>5895.6</v>
      </c>
      <c r="J144" s="153">
        <f t="shared" si="26"/>
        <v>5895.6</v>
      </c>
      <c r="K144" s="153">
        <f t="shared" si="26"/>
        <v>0</v>
      </c>
      <c r="L144" s="153">
        <f t="shared" si="26"/>
        <v>5895.6</v>
      </c>
    </row>
    <row r="145" spans="1:12" ht="26.25" x14ac:dyDescent="0.25">
      <c r="A145" s="154" t="s">
        <v>119</v>
      </c>
      <c r="B145" s="154"/>
      <c r="C145" s="155" t="s">
        <v>120</v>
      </c>
      <c r="D145" s="468">
        <f>D146+D152+D148+D150</f>
        <v>5896.3</v>
      </c>
      <c r="E145" s="468">
        <f>E146+E152+E148+E150</f>
        <v>-83.6</v>
      </c>
      <c r="F145" s="468">
        <f>F146+F152+F148+F150</f>
        <v>5812.7</v>
      </c>
      <c r="G145" s="156">
        <f>G146+G152+G150</f>
        <v>5895.6</v>
      </c>
      <c r="H145" s="156">
        <f>H146+H150</f>
        <v>0</v>
      </c>
      <c r="I145" s="156">
        <f>I146+I152+I150</f>
        <v>5895.6</v>
      </c>
      <c r="J145" s="156">
        <f>J146+J152+J150</f>
        <v>5895.6</v>
      </c>
      <c r="K145" s="156">
        <f>K146+K150</f>
        <v>0</v>
      </c>
      <c r="L145" s="156">
        <f>L146+L152+L150</f>
        <v>5895.6</v>
      </c>
    </row>
    <row r="146" spans="1:12" ht="26.25" x14ac:dyDescent="0.25">
      <c r="A146" s="157" t="s">
        <v>121</v>
      </c>
      <c r="B146" s="157"/>
      <c r="C146" s="159" t="s">
        <v>122</v>
      </c>
      <c r="D146" s="469">
        <v>0</v>
      </c>
      <c r="E146" s="469"/>
      <c r="F146" s="469">
        <f t="shared" ref="F146:L146" si="27">F147</f>
        <v>0</v>
      </c>
      <c r="G146" s="160">
        <f t="shared" si="27"/>
        <v>0</v>
      </c>
      <c r="H146" s="160">
        <f t="shared" si="27"/>
        <v>0</v>
      </c>
      <c r="I146" s="160">
        <f t="shared" si="27"/>
        <v>0</v>
      </c>
      <c r="J146" s="160">
        <f t="shared" si="27"/>
        <v>0</v>
      </c>
      <c r="K146" s="160">
        <f t="shared" si="27"/>
        <v>0</v>
      </c>
      <c r="L146" s="160">
        <f t="shared" si="27"/>
        <v>0</v>
      </c>
    </row>
    <row r="147" spans="1:12" ht="26.25" x14ac:dyDescent="0.25">
      <c r="A147" s="157"/>
      <c r="B147" s="157" t="s">
        <v>64</v>
      </c>
      <c r="C147" s="159" t="s">
        <v>65</v>
      </c>
      <c r="D147" s="470">
        <v>0</v>
      </c>
      <c r="E147" s="470"/>
      <c r="F147" s="470">
        <v>0</v>
      </c>
      <c r="G147" s="160">
        <v>0</v>
      </c>
      <c r="H147" s="160">
        <v>0</v>
      </c>
      <c r="I147" s="160">
        <v>0</v>
      </c>
      <c r="J147" s="160">
        <v>0</v>
      </c>
      <c r="K147" s="160">
        <v>0</v>
      </c>
      <c r="L147" s="160">
        <v>0</v>
      </c>
    </row>
    <row r="148" spans="1:12" ht="27" customHeight="1" x14ac:dyDescent="0.25">
      <c r="A148" s="157" t="s">
        <v>775</v>
      </c>
      <c r="B148" s="157"/>
      <c r="C148" s="159" t="s">
        <v>1147</v>
      </c>
      <c r="D148" s="470">
        <f>D149</f>
        <v>114.9</v>
      </c>
      <c r="E148" s="470">
        <f>E149</f>
        <v>-83.6</v>
      </c>
      <c r="F148" s="470">
        <f>F149</f>
        <v>31.300000000000011</v>
      </c>
      <c r="G148" s="160">
        <f>G149</f>
        <v>0</v>
      </c>
      <c r="H148" s="160"/>
      <c r="I148" s="160">
        <f>I149</f>
        <v>0</v>
      </c>
      <c r="J148" s="160">
        <f>J149</f>
        <v>0</v>
      </c>
      <c r="K148" s="160"/>
      <c r="L148" s="160">
        <f>L149</f>
        <v>0</v>
      </c>
    </row>
    <row r="149" spans="1:12" ht="26.25" x14ac:dyDescent="0.25">
      <c r="A149" s="157"/>
      <c r="B149" s="157" t="s">
        <v>64</v>
      </c>
      <c r="C149" s="159" t="s">
        <v>65</v>
      </c>
      <c r="D149" s="470">
        <v>114.9</v>
      </c>
      <c r="E149" s="470">
        <v>-83.6</v>
      </c>
      <c r="F149" s="470">
        <f>SUM(D149:E149)</f>
        <v>31.300000000000011</v>
      </c>
      <c r="G149" s="160">
        <v>0</v>
      </c>
      <c r="H149" s="160"/>
      <c r="I149" s="160">
        <v>0</v>
      </c>
      <c r="J149" s="160">
        <v>0</v>
      </c>
      <c r="K149" s="160"/>
      <c r="L149" s="160">
        <v>0</v>
      </c>
    </row>
    <row r="150" spans="1:12" ht="26.25" x14ac:dyDescent="0.25">
      <c r="A150" s="157" t="s">
        <v>1141</v>
      </c>
      <c r="B150" s="157"/>
      <c r="C150" s="159" t="s">
        <v>1140</v>
      </c>
      <c r="D150" s="470">
        <f>D151</f>
        <v>1755.8</v>
      </c>
      <c r="E150" s="470">
        <f>E151</f>
        <v>0</v>
      </c>
      <c r="F150" s="470">
        <f>F151</f>
        <v>1755.8</v>
      </c>
      <c r="G150" s="160">
        <v>1870</v>
      </c>
      <c r="H150" s="160">
        <f>H151</f>
        <v>0</v>
      </c>
      <c r="I150" s="160">
        <f>I151</f>
        <v>1870</v>
      </c>
      <c r="J150" s="160">
        <f>J151</f>
        <v>1870</v>
      </c>
      <c r="K150" s="160"/>
      <c r="L150" s="160">
        <f>L151</f>
        <v>1870</v>
      </c>
    </row>
    <row r="151" spans="1:12" ht="26.25" x14ac:dyDescent="0.25">
      <c r="A151" s="157"/>
      <c r="B151" s="157" t="s">
        <v>64</v>
      </c>
      <c r="C151" s="159" t="s">
        <v>65</v>
      </c>
      <c r="D151" s="470">
        <v>1755.8</v>
      </c>
      <c r="E151" s="470"/>
      <c r="F151" s="470">
        <f>SUM(D151:E151)</f>
        <v>1755.8</v>
      </c>
      <c r="G151" s="160">
        <v>1870</v>
      </c>
      <c r="H151" s="160"/>
      <c r="I151" s="160">
        <v>1870</v>
      </c>
      <c r="J151" s="160">
        <v>1870</v>
      </c>
      <c r="K151" s="160"/>
      <c r="L151" s="160">
        <v>1870</v>
      </c>
    </row>
    <row r="152" spans="1:12" ht="39" x14ac:dyDescent="0.25">
      <c r="A152" s="449" t="s">
        <v>123</v>
      </c>
      <c r="B152" s="157"/>
      <c r="C152" s="159" t="s">
        <v>124</v>
      </c>
      <c r="D152" s="470">
        <v>4025.6</v>
      </c>
      <c r="E152" s="470">
        <f>E153+E154+E155</f>
        <v>0</v>
      </c>
      <c r="F152" s="470">
        <v>4025.6</v>
      </c>
      <c r="G152" s="160">
        <v>4025.6</v>
      </c>
      <c r="H152" s="160"/>
      <c r="I152" s="160">
        <v>4025.6</v>
      </c>
      <c r="J152" s="160">
        <v>4025.6</v>
      </c>
      <c r="K152" s="160"/>
      <c r="L152" s="160">
        <v>4025.6</v>
      </c>
    </row>
    <row r="153" spans="1:12" x14ac:dyDescent="0.25">
      <c r="A153" s="157"/>
      <c r="B153" s="157" t="s">
        <v>37</v>
      </c>
      <c r="C153" s="159" t="s">
        <v>38</v>
      </c>
      <c r="D153" s="473">
        <v>0</v>
      </c>
      <c r="E153" s="473"/>
      <c r="F153" s="473">
        <v>0</v>
      </c>
      <c r="G153" s="29">
        <v>64.099999999999994</v>
      </c>
      <c r="H153" s="29"/>
      <c r="I153" s="29">
        <v>64.099999999999994</v>
      </c>
      <c r="J153" s="29">
        <v>64.099999999999994</v>
      </c>
      <c r="K153" s="29"/>
      <c r="L153" s="29">
        <v>64.099999999999994</v>
      </c>
    </row>
    <row r="154" spans="1:12" ht="26.25" x14ac:dyDescent="0.25">
      <c r="A154" s="157"/>
      <c r="B154" s="157" t="s">
        <v>64</v>
      </c>
      <c r="C154" s="159" t="s">
        <v>65</v>
      </c>
      <c r="D154" s="473">
        <v>3952.3</v>
      </c>
      <c r="E154" s="473">
        <v>55.2</v>
      </c>
      <c r="F154" s="473">
        <f>SUM(D154:E154)</f>
        <v>4007.5</v>
      </c>
      <c r="G154" s="29">
        <v>3961.5</v>
      </c>
      <c r="H154" s="29"/>
      <c r="I154" s="29">
        <v>3961.5</v>
      </c>
      <c r="J154" s="29">
        <v>3961.5</v>
      </c>
      <c r="K154" s="29"/>
      <c r="L154" s="29">
        <v>3961.5</v>
      </c>
    </row>
    <row r="155" spans="1:12" x14ac:dyDescent="0.25">
      <c r="A155" s="157"/>
      <c r="B155" s="157" t="s">
        <v>32</v>
      </c>
      <c r="C155" s="159" t="s">
        <v>33</v>
      </c>
      <c r="D155" s="473">
        <v>73.3</v>
      </c>
      <c r="E155" s="473">
        <v>-55.2</v>
      </c>
      <c r="F155" s="473">
        <f>SUM(D155:E155)</f>
        <v>18.099999999999994</v>
      </c>
      <c r="G155" s="29"/>
      <c r="H155" s="29"/>
      <c r="I155" s="29">
        <v>0</v>
      </c>
      <c r="J155" s="29"/>
      <c r="K155" s="29"/>
      <c r="L155" s="29">
        <v>0</v>
      </c>
    </row>
    <row r="156" spans="1:12" x14ac:dyDescent="0.25">
      <c r="A156" s="151" t="s">
        <v>125</v>
      </c>
      <c r="B156" s="151"/>
      <c r="C156" s="152" t="s">
        <v>126</v>
      </c>
      <c r="D156" s="467">
        <f t="shared" ref="D156:L156" si="28">D157+D162</f>
        <v>17952.700000000004</v>
      </c>
      <c r="E156" s="467">
        <f t="shared" si="28"/>
        <v>594.90899999999999</v>
      </c>
      <c r="F156" s="467">
        <f t="shared" si="28"/>
        <v>18547.609000000004</v>
      </c>
      <c r="G156" s="153">
        <f t="shared" si="28"/>
        <v>18010.600000000002</v>
      </c>
      <c r="H156" s="153">
        <f t="shared" si="28"/>
        <v>0</v>
      </c>
      <c r="I156" s="153">
        <f t="shared" si="28"/>
        <v>18010.600000000002</v>
      </c>
      <c r="J156" s="153">
        <f t="shared" si="28"/>
        <v>17882.900000000001</v>
      </c>
      <c r="K156" s="153">
        <f t="shared" si="28"/>
        <v>0</v>
      </c>
      <c r="L156" s="153">
        <f t="shared" si="28"/>
        <v>17882.900000000001</v>
      </c>
    </row>
    <row r="157" spans="1:12" ht="26.25" x14ac:dyDescent="0.25">
      <c r="A157" s="154" t="s">
        <v>127</v>
      </c>
      <c r="B157" s="154"/>
      <c r="C157" s="155" t="s">
        <v>128</v>
      </c>
      <c r="D157" s="468">
        <f>D160+D158</f>
        <v>211.4</v>
      </c>
      <c r="E157" s="468"/>
      <c r="F157" s="468">
        <f>F160+F158</f>
        <v>211.4</v>
      </c>
      <c r="G157" s="156">
        <f>G160+G158</f>
        <v>211.4</v>
      </c>
      <c r="H157" s="156"/>
      <c r="I157" s="156">
        <f>I160+I158</f>
        <v>211.4</v>
      </c>
      <c r="J157" s="156">
        <f>J160+J158</f>
        <v>211.4</v>
      </c>
      <c r="K157" s="156"/>
      <c r="L157" s="156">
        <f>L160+L158</f>
        <v>211.4</v>
      </c>
    </row>
    <row r="158" spans="1:12" ht="27" customHeight="1" x14ac:dyDescent="0.25">
      <c r="A158" s="172" t="s">
        <v>129</v>
      </c>
      <c r="B158" s="172"/>
      <c r="C158" s="173" t="s">
        <v>130</v>
      </c>
      <c r="D158" s="469">
        <f>D159</f>
        <v>150.30000000000001</v>
      </c>
      <c r="E158" s="469"/>
      <c r="F158" s="469">
        <f>F159</f>
        <v>150.30000000000001</v>
      </c>
      <c r="G158" s="160">
        <f>G159</f>
        <v>150.30000000000001</v>
      </c>
      <c r="H158" s="160"/>
      <c r="I158" s="160">
        <f>I159</f>
        <v>150.30000000000001</v>
      </c>
      <c r="J158" s="160">
        <f>J159</f>
        <v>150.30000000000001</v>
      </c>
      <c r="K158" s="160"/>
      <c r="L158" s="160">
        <f>L159</f>
        <v>150.30000000000001</v>
      </c>
    </row>
    <row r="159" spans="1:12" ht="26.25" x14ac:dyDescent="0.25">
      <c r="A159" s="172"/>
      <c r="B159" s="172" t="s">
        <v>64</v>
      </c>
      <c r="C159" s="173" t="s">
        <v>65</v>
      </c>
      <c r="D159" s="469">
        <v>150.30000000000001</v>
      </c>
      <c r="E159" s="469"/>
      <c r="F159" s="469">
        <v>150.30000000000001</v>
      </c>
      <c r="G159" s="160">
        <v>150.30000000000001</v>
      </c>
      <c r="H159" s="160"/>
      <c r="I159" s="160">
        <v>150.30000000000001</v>
      </c>
      <c r="J159" s="160">
        <v>150.30000000000001</v>
      </c>
      <c r="K159" s="160"/>
      <c r="L159" s="160">
        <v>150.30000000000001</v>
      </c>
    </row>
    <row r="160" spans="1:12" ht="26.25" x14ac:dyDescent="0.25">
      <c r="A160" s="157" t="s">
        <v>131</v>
      </c>
      <c r="B160" s="157"/>
      <c r="C160" s="159" t="s">
        <v>132</v>
      </c>
      <c r="D160" s="469">
        <f>D161</f>
        <v>61.1</v>
      </c>
      <c r="E160" s="469"/>
      <c r="F160" s="469">
        <f>F161</f>
        <v>61.1</v>
      </c>
      <c r="G160" s="160">
        <f>G161</f>
        <v>61.1</v>
      </c>
      <c r="H160" s="160"/>
      <c r="I160" s="160">
        <f>I161</f>
        <v>61.1</v>
      </c>
      <c r="J160" s="160">
        <f>J161</f>
        <v>61.1</v>
      </c>
      <c r="K160" s="160"/>
      <c r="L160" s="160">
        <f>L161</f>
        <v>61.1</v>
      </c>
    </row>
    <row r="161" spans="1:12" ht="26.25" x14ac:dyDescent="0.25">
      <c r="A161" s="157"/>
      <c r="B161" s="157" t="s">
        <v>64</v>
      </c>
      <c r="C161" s="159" t="s">
        <v>65</v>
      </c>
      <c r="D161" s="469">
        <v>61.1</v>
      </c>
      <c r="E161" s="469"/>
      <c r="F161" s="469">
        <v>61.1</v>
      </c>
      <c r="G161" s="160">
        <v>61.1</v>
      </c>
      <c r="H161" s="160"/>
      <c r="I161" s="160">
        <v>61.1</v>
      </c>
      <c r="J161" s="160">
        <v>61.1</v>
      </c>
      <c r="K161" s="160"/>
      <c r="L161" s="160">
        <v>61.1</v>
      </c>
    </row>
    <row r="162" spans="1:12" ht="26.25" x14ac:dyDescent="0.25">
      <c r="A162" s="154" t="s">
        <v>133</v>
      </c>
      <c r="B162" s="154"/>
      <c r="C162" s="155" t="s">
        <v>134</v>
      </c>
      <c r="D162" s="468">
        <f>D163+D166+D169</f>
        <v>17741.300000000003</v>
      </c>
      <c r="E162" s="468">
        <f>E163+E166</f>
        <v>594.90899999999999</v>
      </c>
      <c r="F162" s="468">
        <f>F163+F166+F169</f>
        <v>18336.209000000003</v>
      </c>
      <c r="G162" s="156">
        <f>G163+G166+G169</f>
        <v>17799.2</v>
      </c>
      <c r="H162" s="156">
        <f>H163</f>
        <v>0</v>
      </c>
      <c r="I162" s="156">
        <f>I163+I166+I169</f>
        <v>17799.2</v>
      </c>
      <c r="J162" s="156">
        <f>J163+J166+J169</f>
        <v>17671.5</v>
      </c>
      <c r="K162" s="156">
        <f>K163</f>
        <v>0</v>
      </c>
      <c r="L162" s="156">
        <f>L163+L166+L169</f>
        <v>17671.5</v>
      </c>
    </row>
    <row r="163" spans="1:12" ht="26.25" x14ac:dyDescent="0.25">
      <c r="A163" s="449" t="s">
        <v>135</v>
      </c>
      <c r="B163" s="157"/>
      <c r="C163" s="159" t="s">
        <v>1190</v>
      </c>
      <c r="D163" s="470">
        <f>D165+D164</f>
        <v>6149.9</v>
      </c>
      <c r="E163" s="470">
        <f>E164+E165</f>
        <v>-143.99100000000001</v>
      </c>
      <c r="F163" s="470">
        <f>F165+F164</f>
        <v>6005.9090000000006</v>
      </c>
      <c r="G163" s="160">
        <f t="shared" ref="G163:L163" si="29">G165</f>
        <v>6207.8</v>
      </c>
      <c r="H163" s="160">
        <f>H165</f>
        <v>0</v>
      </c>
      <c r="I163" s="160">
        <f t="shared" si="29"/>
        <v>6207.8</v>
      </c>
      <c r="J163" s="160">
        <f t="shared" si="29"/>
        <v>6276</v>
      </c>
      <c r="K163" s="160">
        <f>K165</f>
        <v>0</v>
      </c>
      <c r="L163" s="160">
        <f t="shared" si="29"/>
        <v>6276</v>
      </c>
    </row>
    <row r="164" spans="1:12" x14ac:dyDescent="0.25">
      <c r="A164" s="157"/>
      <c r="B164" s="157" t="s">
        <v>37</v>
      </c>
      <c r="C164" s="159" t="s">
        <v>38</v>
      </c>
      <c r="D164" s="470">
        <v>93.4</v>
      </c>
      <c r="E164" s="598">
        <v>-12.88</v>
      </c>
      <c r="F164" s="470">
        <f>SUM(D164+E164)</f>
        <v>80.52000000000001</v>
      </c>
      <c r="G164" s="160"/>
      <c r="H164" s="160"/>
      <c r="I164" s="160">
        <f>H164</f>
        <v>0</v>
      </c>
      <c r="J164" s="160"/>
      <c r="K164" s="160"/>
      <c r="L164" s="160">
        <f>K164</f>
        <v>0</v>
      </c>
    </row>
    <row r="165" spans="1:12" ht="26.25" x14ac:dyDescent="0.25">
      <c r="A165" s="157"/>
      <c r="B165" s="157" t="s">
        <v>64</v>
      </c>
      <c r="C165" s="159" t="s">
        <v>65</v>
      </c>
      <c r="D165" s="470">
        <v>6056.5</v>
      </c>
      <c r="E165" s="598">
        <f>12.88-143.991</f>
        <v>-131.11100000000002</v>
      </c>
      <c r="F165" s="470">
        <f>SUM(D165:E165)</f>
        <v>5925.3890000000001</v>
      </c>
      <c r="G165" s="160">
        <v>6207.8</v>
      </c>
      <c r="H165" s="160"/>
      <c r="I165" s="160">
        <f>SUM(G165:H165)</f>
        <v>6207.8</v>
      </c>
      <c r="J165" s="160">
        <v>6276</v>
      </c>
      <c r="K165" s="160"/>
      <c r="L165" s="160">
        <f>SUM(J165:K165)</f>
        <v>6276</v>
      </c>
    </row>
    <row r="166" spans="1:12" ht="51.75" x14ac:dyDescent="0.25">
      <c r="A166" s="157" t="s">
        <v>136</v>
      </c>
      <c r="B166" s="157"/>
      <c r="C166" s="159" t="s">
        <v>430</v>
      </c>
      <c r="D166" s="470">
        <v>11395.5</v>
      </c>
      <c r="E166" s="470">
        <f>E167+E168</f>
        <v>738.9</v>
      </c>
      <c r="F166" s="470">
        <f>SUM(F167:F168)</f>
        <v>12134.400000000001</v>
      </c>
      <c r="G166" s="160">
        <v>11395.5</v>
      </c>
      <c r="H166" s="160"/>
      <c r="I166" s="160">
        <v>11395.5</v>
      </c>
      <c r="J166" s="160">
        <v>11395.5</v>
      </c>
      <c r="K166" s="160"/>
      <c r="L166" s="160">
        <v>11395.5</v>
      </c>
    </row>
    <row r="167" spans="1:12" x14ac:dyDescent="0.25">
      <c r="A167" s="157"/>
      <c r="B167" s="157" t="s">
        <v>37</v>
      </c>
      <c r="C167" s="159" t="s">
        <v>38</v>
      </c>
      <c r="D167" s="470">
        <v>4742</v>
      </c>
      <c r="E167" s="470">
        <f>-12.1+738.9</f>
        <v>726.8</v>
      </c>
      <c r="F167" s="470">
        <f>SUM(D167:E167)</f>
        <v>5468.8</v>
      </c>
      <c r="G167" s="160">
        <v>4721</v>
      </c>
      <c r="H167" s="160"/>
      <c r="I167" s="160">
        <v>4721</v>
      </c>
      <c r="J167" s="160">
        <v>4721</v>
      </c>
      <c r="K167" s="160"/>
      <c r="L167" s="160">
        <v>4721</v>
      </c>
    </row>
    <row r="168" spans="1:12" ht="26.25" x14ac:dyDescent="0.25">
      <c r="A168" s="157"/>
      <c r="B168" s="157" t="s">
        <v>64</v>
      </c>
      <c r="C168" s="159" t="s">
        <v>65</v>
      </c>
      <c r="D168" s="470">
        <v>6653.5</v>
      </c>
      <c r="E168" s="470">
        <v>12.1</v>
      </c>
      <c r="F168" s="470">
        <f>SUM(D168:E168)</f>
        <v>6665.6</v>
      </c>
      <c r="G168" s="160">
        <v>6674.5</v>
      </c>
      <c r="H168" s="160"/>
      <c r="I168" s="160">
        <v>6674.5</v>
      </c>
      <c r="J168" s="160">
        <v>6674.5</v>
      </c>
      <c r="K168" s="160"/>
      <c r="L168" s="160">
        <v>6674.5</v>
      </c>
    </row>
    <row r="169" spans="1:12" ht="26.25" x14ac:dyDescent="0.25">
      <c r="A169" s="157" t="s">
        <v>137</v>
      </c>
      <c r="B169" s="157"/>
      <c r="C169" s="159" t="s">
        <v>138</v>
      </c>
      <c r="D169" s="470">
        <f>D170</f>
        <v>195.89999999999998</v>
      </c>
      <c r="E169" s="470"/>
      <c r="F169" s="470">
        <f>F170</f>
        <v>195.89999999999998</v>
      </c>
      <c r="G169" s="160">
        <f>G170</f>
        <v>195.89999999999998</v>
      </c>
      <c r="H169" s="160"/>
      <c r="I169" s="160">
        <f>I170</f>
        <v>195.89999999999998</v>
      </c>
      <c r="J169" s="160">
        <f>J170</f>
        <v>0</v>
      </c>
      <c r="K169" s="160"/>
      <c r="L169" s="160">
        <f>L170</f>
        <v>0</v>
      </c>
    </row>
    <row r="170" spans="1:12" ht="26.25" x14ac:dyDescent="0.25">
      <c r="A170" s="157"/>
      <c r="B170" s="157" t="s">
        <v>17</v>
      </c>
      <c r="C170" s="159" t="s">
        <v>18</v>
      </c>
      <c r="D170" s="470">
        <f>D171+D172</f>
        <v>195.89999999999998</v>
      </c>
      <c r="E170" s="470"/>
      <c r="F170" s="470">
        <f>F171+F172</f>
        <v>195.89999999999998</v>
      </c>
      <c r="G170" s="160">
        <f>G171+G172</f>
        <v>195.89999999999998</v>
      </c>
      <c r="H170" s="160"/>
      <c r="I170" s="160">
        <f>I171+I172</f>
        <v>195.89999999999998</v>
      </c>
      <c r="J170" s="160">
        <f>J171+J172</f>
        <v>0</v>
      </c>
      <c r="K170" s="160"/>
      <c r="L170" s="160">
        <f>L171+L172</f>
        <v>0</v>
      </c>
    </row>
    <row r="171" spans="1:12" x14ac:dyDescent="0.25">
      <c r="A171" s="157"/>
      <c r="B171" s="157"/>
      <c r="C171" s="159" t="s">
        <v>87</v>
      </c>
      <c r="D171" s="470">
        <v>130.6</v>
      </c>
      <c r="E171" s="470"/>
      <c r="F171" s="470">
        <v>130.6</v>
      </c>
      <c r="G171" s="160">
        <v>130.6</v>
      </c>
      <c r="H171" s="160"/>
      <c r="I171" s="160">
        <v>130.6</v>
      </c>
      <c r="J171" s="160">
        <v>0</v>
      </c>
      <c r="K171" s="160"/>
      <c r="L171" s="160">
        <v>0</v>
      </c>
    </row>
    <row r="172" spans="1:12" x14ac:dyDescent="0.25">
      <c r="A172" s="157"/>
      <c r="B172" s="157"/>
      <c r="C172" s="159" t="s">
        <v>88</v>
      </c>
      <c r="D172" s="470">
        <v>65.3</v>
      </c>
      <c r="E172" s="470"/>
      <c r="F172" s="470">
        <v>65.3</v>
      </c>
      <c r="G172" s="160">
        <v>65.3</v>
      </c>
      <c r="H172" s="160"/>
      <c r="I172" s="160">
        <v>65.3</v>
      </c>
      <c r="J172" s="160">
        <v>0</v>
      </c>
      <c r="K172" s="160"/>
      <c r="L172" s="160">
        <v>0</v>
      </c>
    </row>
    <row r="173" spans="1:12" ht="26.25" x14ac:dyDescent="0.25">
      <c r="A173" s="151" t="s">
        <v>139</v>
      </c>
      <c r="B173" s="151"/>
      <c r="C173" s="152" t="s">
        <v>140</v>
      </c>
      <c r="D173" s="467">
        <f t="shared" ref="D173:J173" si="30">D174</f>
        <v>12563.8</v>
      </c>
      <c r="E173" s="467">
        <f t="shared" si="30"/>
        <v>9.1999999999999998E-2</v>
      </c>
      <c r="F173" s="467">
        <f t="shared" si="30"/>
        <v>12563.892</v>
      </c>
      <c r="G173" s="153">
        <f t="shared" si="30"/>
        <v>0</v>
      </c>
      <c r="H173" s="153">
        <f t="shared" si="30"/>
        <v>1102.3</v>
      </c>
      <c r="I173" s="153">
        <f t="shared" si="30"/>
        <v>1102.3</v>
      </c>
      <c r="J173" s="153">
        <f t="shared" si="30"/>
        <v>0</v>
      </c>
      <c r="K173" s="153"/>
      <c r="L173" s="153">
        <f>L174</f>
        <v>0</v>
      </c>
    </row>
    <row r="174" spans="1:12" ht="39" x14ac:dyDescent="0.25">
      <c r="A174" s="164" t="s">
        <v>141</v>
      </c>
      <c r="B174" s="164"/>
      <c r="C174" s="155" t="s">
        <v>142</v>
      </c>
      <c r="D174" s="468">
        <f>D175+D181+D179+D183+D185+D187</f>
        <v>12563.8</v>
      </c>
      <c r="E174" s="468">
        <f>E175+E181+E179+E183+E185+E187</f>
        <v>9.1999999999999998E-2</v>
      </c>
      <c r="F174" s="468">
        <f>F175+F181+F179+F183+F185+F187</f>
        <v>12563.892</v>
      </c>
      <c r="G174" s="156">
        <f>G175+G181</f>
        <v>0</v>
      </c>
      <c r="H174" s="156">
        <f>H175</f>
        <v>1102.3</v>
      </c>
      <c r="I174" s="156">
        <f>I175+I181</f>
        <v>1102.3</v>
      </c>
      <c r="J174" s="156">
        <f>J175+J181</f>
        <v>0</v>
      </c>
      <c r="K174" s="156"/>
      <c r="L174" s="156">
        <f>L175+L181</f>
        <v>0</v>
      </c>
    </row>
    <row r="175" spans="1:12" ht="26.25" x14ac:dyDescent="0.25">
      <c r="A175" s="449" t="s">
        <v>143</v>
      </c>
      <c r="B175" s="157"/>
      <c r="C175" s="159" t="s">
        <v>144</v>
      </c>
      <c r="D175" s="470">
        <f>D176</f>
        <v>3414.1</v>
      </c>
      <c r="E175" s="470">
        <f>E176</f>
        <v>9.1999999999999998E-2</v>
      </c>
      <c r="F175" s="470">
        <f>F176</f>
        <v>3414.192</v>
      </c>
      <c r="G175" s="160">
        <f>G176</f>
        <v>0</v>
      </c>
      <c r="H175" s="160">
        <f>H176</f>
        <v>1102.3</v>
      </c>
      <c r="I175" s="160">
        <f t="shared" ref="I175:I176" si="31">G175+H175</f>
        <v>1102.3</v>
      </c>
      <c r="J175" s="160">
        <f>J176</f>
        <v>0</v>
      </c>
      <c r="K175" s="160"/>
      <c r="L175" s="160">
        <f>L176</f>
        <v>0</v>
      </c>
    </row>
    <row r="176" spans="1:12" ht="26.25" x14ac:dyDescent="0.25">
      <c r="A176" s="157"/>
      <c r="B176" s="157" t="s">
        <v>64</v>
      </c>
      <c r="C176" s="159" t="s">
        <v>65</v>
      </c>
      <c r="D176" s="470">
        <f>D177+D178</f>
        <v>3414.1</v>
      </c>
      <c r="E176" s="470">
        <f>E177+E178</f>
        <v>9.1999999999999998E-2</v>
      </c>
      <c r="F176" s="470">
        <f>F177+F178</f>
        <v>3414.192</v>
      </c>
      <c r="G176" s="160">
        <v>0</v>
      </c>
      <c r="H176" s="160">
        <f>H178</f>
        <v>1102.3</v>
      </c>
      <c r="I176" s="160">
        <f t="shared" si="31"/>
        <v>1102.3</v>
      </c>
      <c r="J176" s="160">
        <v>0</v>
      </c>
      <c r="K176" s="160"/>
      <c r="L176" s="160">
        <v>0</v>
      </c>
    </row>
    <row r="177" spans="1:12" x14ac:dyDescent="0.25">
      <c r="A177" s="157"/>
      <c r="B177" s="157"/>
      <c r="C177" s="159" t="s">
        <v>145</v>
      </c>
      <c r="D177" s="470">
        <v>2560.6</v>
      </c>
      <c r="E177" s="470">
        <v>4.3999999999999997E-2</v>
      </c>
      <c r="F177" s="470">
        <f>SUM(D177:E177)</f>
        <v>2560.6439999999998</v>
      </c>
      <c r="G177" s="160">
        <v>0</v>
      </c>
      <c r="H177" s="160"/>
      <c r="I177" s="160">
        <v>0</v>
      </c>
      <c r="J177" s="160">
        <v>0</v>
      </c>
      <c r="K177" s="160"/>
      <c r="L177" s="160">
        <v>0</v>
      </c>
    </row>
    <row r="178" spans="1:12" x14ac:dyDescent="0.25">
      <c r="A178" s="157"/>
      <c r="B178" s="157"/>
      <c r="C178" s="159" t="s">
        <v>146</v>
      </c>
      <c r="D178" s="470">
        <v>853.5</v>
      </c>
      <c r="E178" s="470">
        <v>4.8000000000000001E-2</v>
      </c>
      <c r="F178" s="470">
        <f>SUM(D178:E178)</f>
        <v>853.548</v>
      </c>
      <c r="G178" s="160">
        <v>0</v>
      </c>
      <c r="H178" s="160">
        <v>1102.3</v>
      </c>
      <c r="I178" s="160">
        <f>G178+H178</f>
        <v>1102.3</v>
      </c>
      <c r="J178" s="160">
        <v>0</v>
      </c>
      <c r="K178" s="160"/>
      <c r="L178" s="160">
        <v>0</v>
      </c>
    </row>
    <row r="179" spans="1:12" ht="38.25" x14ac:dyDescent="0.25">
      <c r="A179" s="46" t="s">
        <v>1087</v>
      </c>
      <c r="B179" s="46"/>
      <c r="C179" s="425" t="s">
        <v>1088</v>
      </c>
      <c r="D179" s="470">
        <v>624</v>
      </c>
      <c r="E179" s="470">
        <f>E180</f>
        <v>0</v>
      </c>
      <c r="F179" s="470">
        <f>SUM(F180)</f>
        <v>624</v>
      </c>
      <c r="G179" s="160"/>
      <c r="H179" s="160"/>
      <c r="I179" s="160">
        <v>0</v>
      </c>
      <c r="J179" s="160"/>
      <c r="K179" s="160"/>
      <c r="L179" s="160">
        <v>0</v>
      </c>
    </row>
    <row r="180" spans="1:12" ht="25.5" x14ac:dyDescent="0.25">
      <c r="A180" s="426"/>
      <c r="B180" s="46" t="s">
        <v>64</v>
      </c>
      <c r="C180" s="47" t="s">
        <v>65</v>
      </c>
      <c r="D180" s="470">
        <v>624</v>
      </c>
      <c r="E180" s="470"/>
      <c r="F180" s="470">
        <f>SUM(D180:E180)</f>
        <v>624</v>
      </c>
      <c r="G180" s="160"/>
      <c r="H180" s="160"/>
      <c r="I180" s="160">
        <v>0</v>
      </c>
      <c r="J180" s="160"/>
      <c r="K180" s="160"/>
      <c r="L180" s="160">
        <v>0</v>
      </c>
    </row>
    <row r="181" spans="1:12" ht="65.25" customHeight="1" x14ac:dyDescent="0.25">
      <c r="A181" s="174" t="s">
        <v>721</v>
      </c>
      <c r="B181" s="174"/>
      <c r="C181" s="175" t="s">
        <v>1107</v>
      </c>
      <c r="D181" s="477">
        <f>D182</f>
        <v>1395</v>
      </c>
      <c r="E181" s="477">
        <f>E182</f>
        <v>0</v>
      </c>
      <c r="F181" s="477">
        <f>F182</f>
        <v>1395</v>
      </c>
      <c r="G181" s="176">
        <v>0</v>
      </c>
      <c r="H181" s="176"/>
      <c r="I181" s="176">
        <v>0</v>
      </c>
      <c r="J181" s="176">
        <v>0</v>
      </c>
      <c r="K181" s="176"/>
      <c r="L181" s="176">
        <v>0</v>
      </c>
    </row>
    <row r="182" spans="1:12" ht="25.5" x14ac:dyDescent="0.25">
      <c r="A182" s="177"/>
      <c r="B182" s="174" t="s">
        <v>64</v>
      </c>
      <c r="C182" s="175" t="s">
        <v>65</v>
      </c>
      <c r="D182" s="478">
        <v>1395</v>
      </c>
      <c r="E182" s="478"/>
      <c r="F182" s="478">
        <f>SUM(D182:E182)</f>
        <v>1395</v>
      </c>
      <c r="G182" s="176">
        <v>0</v>
      </c>
      <c r="H182" s="176"/>
      <c r="I182" s="176">
        <v>0</v>
      </c>
      <c r="J182" s="176">
        <v>0</v>
      </c>
      <c r="K182" s="176"/>
      <c r="L182" s="176">
        <v>0</v>
      </c>
    </row>
    <row r="183" spans="1:12" ht="25.5" x14ac:dyDescent="0.25">
      <c r="A183" s="46" t="s">
        <v>1089</v>
      </c>
      <c r="B183" s="46"/>
      <c r="C183" s="47" t="s">
        <v>1090</v>
      </c>
      <c r="D183" s="478">
        <v>1722.9</v>
      </c>
      <c r="E183" s="478">
        <f>E184</f>
        <v>0</v>
      </c>
      <c r="F183" s="478">
        <f>SUM(D183:E183)</f>
        <v>1722.9</v>
      </c>
      <c r="G183" s="176"/>
      <c r="H183" s="176"/>
      <c r="I183" s="176">
        <v>0</v>
      </c>
      <c r="J183" s="176"/>
      <c r="K183" s="176"/>
      <c r="L183" s="176">
        <v>0</v>
      </c>
    </row>
    <row r="184" spans="1:12" ht="25.5" x14ac:dyDescent="0.25">
      <c r="A184" s="426"/>
      <c r="B184" s="46" t="s">
        <v>64</v>
      </c>
      <c r="C184" s="47" t="s">
        <v>65</v>
      </c>
      <c r="D184" s="478">
        <v>1722.9</v>
      </c>
      <c r="E184" s="478"/>
      <c r="F184" s="478">
        <f>SUM(D184:E184)</f>
        <v>1722.9</v>
      </c>
      <c r="G184" s="176"/>
      <c r="H184" s="176"/>
      <c r="I184" s="176">
        <v>0</v>
      </c>
      <c r="J184" s="176"/>
      <c r="K184" s="176"/>
      <c r="L184" s="176">
        <v>0</v>
      </c>
    </row>
    <row r="185" spans="1:12" ht="25.5" x14ac:dyDescent="0.25">
      <c r="A185" s="46" t="s">
        <v>1091</v>
      </c>
      <c r="B185" s="46"/>
      <c r="C185" s="47" t="s">
        <v>1108</v>
      </c>
      <c r="D185" s="478">
        <v>4820</v>
      </c>
      <c r="E185" s="478">
        <f>E186</f>
        <v>0</v>
      </c>
      <c r="F185" s="478">
        <f>SUM(D185:E185)</f>
        <v>4820</v>
      </c>
      <c r="G185" s="176"/>
      <c r="H185" s="176"/>
      <c r="I185" s="176">
        <v>0</v>
      </c>
      <c r="J185" s="176"/>
      <c r="K185" s="176"/>
      <c r="L185" s="176">
        <v>0</v>
      </c>
    </row>
    <row r="186" spans="1:12" ht="25.5" x14ac:dyDescent="0.25">
      <c r="A186" s="426"/>
      <c r="B186" s="46" t="s">
        <v>64</v>
      </c>
      <c r="C186" s="47" t="s">
        <v>65</v>
      </c>
      <c r="D186" s="478">
        <v>4820</v>
      </c>
      <c r="E186" s="478"/>
      <c r="F186" s="478">
        <f>SUM(D186:E186)</f>
        <v>4820</v>
      </c>
      <c r="G186" s="176"/>
      <c r="H186" s="176"/>
      <c r="I186" s="176">
        <v>0</v>
      </c>
      <c r="J186" s="176"/>
      <c r="K186" s="176"/>
      <c r="L186" s="176">
        <v>0</v>
      </c>
    </row>
    <row r="187" spans="1:12" ht="38.25" x14ac:dyDescent="0.25">
      <c r="A187" s="32" t="s">
        <v>1170</v>
      </c>
      <c r="B187" s="46"/>
      <c r="C187" s="30" t="s">
        <v>1171</v>
      </c>
      <c r="D187" s="478">
        <f>D188</f>
        <v>587.79999999999995</v>
      </c>
      <c r="E187" s="478"/>
      <c r="F187" s="478">
        <f>F188</f>
        <v>587.79999999999995</v>
      </c>
      <c r="G187" s="176"/>
      <c r="H187" s="176"/>
      <c r="I187" s="176">
        <v>0</v>
      </c>
      <c r="J187" s="176"/>
      <c r="K187" s="176"/>
      <c r="L187" s="176">
        <v>0</v>
      </c>
    </row>
    <row r="188" spans="1:12" ht="25.5" x14ac:dyDescent="0.25">
      <c r="A188" s="426"/>
      <c r="B188" s="46" t="s">
        <v>64</v>
      </c>
      <c r="C188" s="47" t="s">
        <v>65</v>
      </c>
      <c r="D188" s="478">
        <v>587.79999999999995</v>
      </c>
      <c r="E188" s="478"/>
      <c r="F188" s="478">
        <v>587.79999999999995</v>
      </c>
      <c r="G188" s="176"/>
      <c r="H188" s="176"/>
      <c r="I188" s="176">
        <v>0</v>
      </c>
      <c r="J188" s="176"/>
      <c r="K188" s="176"/>
      <c r="L188" s="176">
        <v>0</v>
      </c>
    </row>
    <row r="189" spans="1:12" ht="26.25" x14ac:dyDescent="0.25">
      <c r="A189" s="151" t="s">
        <v>147</v>
      </c>
      <c r="B189" s="151"/>
      <c r="C189" s="152" t="s">
        <v>148</v>
      </c>
      <c r="D189" s="467">
        <f>D190</f>
        <v>28.5</v>
      </c>
      <c r="E189" s="467"/>
      <c r="F189" s="467">
        <f>F190</f>
        <v>28.5</v>
      </c>
      <c r="G189" s="153">
        <f t="shared" ref="G189:L191" si="32">G190</f>
        <v>28.5</v>
      </c>
      <c r="H189" s="153"/>
      <c r="I189" s="153">
        <f t="shared" si="32"/>
        <v>28.5</v>
      </c>
      <c r="J189" s="153">
        <f t="shared" si="32"/>
        <v>28.5</v>
      </c>
      <c r="K189" s="153"/>
      <c r="L189" s="153">
        <f t="shared" si="32"/>
        <v>28.5</v>
      </c>
    </row>
    <row r="190" spans="1:12" ht="26.25" x14ac:dyDescent="0.25">
      <c r="A190" s="154" t="s">
        <v>149</v>
      </c>
      <c r="B190" s="154"/>
      <c r="C190" s="155" t="s">
        <v>150</v>
      </c>
      <c r="D190" s="468">
        <f>D191</f>
        <v>28.5</v>
      </c>
      <c r="E190" s="468"/>
      <c r="F190" s="468">
        <f>F191</f>
        <v>28.5</v>
      </c>
      <c r="G190" s="156">
        <f t="shared" si="32"/>
        <v>28.5</v>
      </c>
      <c r="H190" s="156"/>
      <c r="I190" s="156">
        <f t="shared" si="32"/>
        <v>28.5</v>
      </c>
      <c r="J190" s="156">
        <f t="shared" si="32"/>
        <v>28.5</v>
      </c>
      <c r="K190" s="156"/>
      <c r="L190" s="156">
        <f t="shared" si="32"/>
        <v>28.5</v>
      </c>
    </row>
    <row r="191" spans="1:12" ht="36.75" customHeight="1" x14ac:dyDescent="0.25">
      <c r="A191" s="157" t="s">
        <v>151</v>
      </c>
      <c r="B191" s="157"/>
      <c r="C191" s="159" t="s">
        <v>152</v>
      </c>
      <c r="D191" s="469">
        <f>D192</f>
        <v>28.5</v>
      </c>
      <c r="E191" s="469"/>
      <c r="F191" s="469">
        <f>F192</f>
        <v>28.5</v>
      </c>
      <c r="G191" s="160">
        <f t="shared" si="32"/>
        <v>28.5</v>
      </c>
      <c r="H191" s="160"/>
      <c r="I191" s="160">
        <f t="shared" si="32"/>
        <v>28.5</v>
      </c>
      <c r="J191" s="160">
        <f t="shared" si="32"/>
        <v>28.5</v>
      </c>
      <c r="K191" s="160"/>
      <c r="L191" s="160">
        <f t="shared" si="32"/>
        <v>28.5</v>
      </c>
    </row>
    <row r="192" spans="1:12" ht="26.25" x14ac:dyDescent="0.25">
      <c r="A192" s="157"/>
      <c r="B192" s="157" t="s">
        <v>64</v>
      </c>
      <c r="C192" s="159" t="s">
        <v>65</v>
      </c>
      <c r="D192" s="469">
        <v>28.5</v>
      </c>
      <c r="E192" s="469"/>
      <c r="F192" s="469">
        <v>28.5</v>
      </c>
      <c r="G192" s="160">
        <v>28.5</v>
      </c>
      <c r="H192" s="160"/>
      <c r="I192" s="160">
        <v>28.5</v>
      </c>
      <c r="J192" s="160">
        <v>28.5</v>
      </c>
      <c r="K192" s="160"/>
      <c r="L192" s="160">
        <v>28.5</v>
      </c>
    </row>
    <row r="193" spans="1:12" ht="26.25" x14ac:dyDescent="0.25">
      <c r="A193" s="151" t="s">
        <v>1204</v>
      </c>
      <c r="B193" s="151"/>
      <c r="C193" s="152" t="s">
        <v>1205</v>
      </c>
      <c r="D193" s="467"/>
      <c r="E193" s="467">
        <f t="shared" ref="E193:F195" si="33">E194</f>
        <v>5</v>
      </c>
      <c r="F193" s="467">
        <f t="shared" si="33"/>
        <v>5</v>
      </c>
      <c r="G193" s="153"/>
      <c r="H193" s="153"/>
      <c r="I193" s="153"/>
      <c r="J193" s="153"/>
      <c r="K193" s="153"/>
      <c r="L193" s="153"/>
    </row>
    <row r="194" spans="1:12" ht="32.25" customHeight="1" x14ac:dyDescent="0.25">
      <c r="A194" s="154" t="s">
        <v>1206</v>
      </c>
      <c r="B194" s="154"/>
      <c r="C194" s="155" t="s">
        <v>1207</v>
      </c>
      <c r="D194" s="468"/>
      <c r="E194" s="468">
        <f t="shared" si="33"/>
        <v>5</v>
      </c>
      <c r="F194" s="468">
        <f t="shared" si="33"/>
        <v>5</v>
      </c>
      <c r="G194" s="156"/>
      <c r="H194" s="156"/>
      <c r="I194" s="156"/>
      <c r="J194" s="156"/>
      <c r="K194" s="156"/>
      <c r="L194" s="156"/>
    </row>
    <row r="195" spans="1:12" ht="26.25" x14ac:dyDescent="0.25">
      <c r="A195" s="32" t="s">
        <v>1208</v>
      </c>
      <c r="B195" s="32"/>
      <c r="C195" s="26" t="s">
        <v>1209</v>
      </c>
      <c r="D195" s="470"/>
      <c r="E195" s="470">
        <f t="shared" si="33"/>
        <v>5</v>
      </c>
      <c r="F195" s="470">
        <f t="shared" si="33"/>
        <v>5</v>
      </c>
      <c r="G195" s="160"/>
      <c r="H195" s="160"/>
      <c r="I195" s="160"/>
      <c r="J195" s="160"/>
      <c r="K195" s="160"/>
      <c r="L195" s="160"/>
    </row>
    <row r="196" spans="1:12" ht="26.25" x14ac:dyDescent="0.25">
      <c r="A196" s="32"/>
      <c r="B196" s="32" t="s">
        <v>64</v>
      </c>
      <c r="C196" s="26" t="s">
        <v>65</v>
      </c>
      <c r="D196" s="470"/>
      <c r="E196" s="470">
        <v>5</v>
      </c>
      <c r="F196" s="470">
        <v>5</v>
      </c>
      <c r="G196" s="160"/>
      <c r="H196" s="160"/>
      <c r="I196" s="160"/>
      <c r="J196" s="160"/>
      <c r="K196" s="160"/>
      <c r="L196" s="160"/>
    </row>
    <row r="197" spans="1:12" ht="26.25" x14ac:dyDescent="0.25">
      <c r="A197" s="148" t="s">
        <v>153</v>
      </c>
      <c r="B197" s="148"/>
      <c r="C197" s="166" t="s">
        <v>154</v>
      </c>
      <c r="D197" s="448">
        <f>D198+D202+D206</f>
        <v>365.5</v>
      </c>
      <c r="E197" s="448"/>
      <c r="F197" s="448">
        <f>F198+F202+F206</f>
        <v>365.5</v>
      </c>
      <c r="G197" s="150">
        <f>G198+G202+G206</f>
        <v>365.5</v>
      </c>
      <c r="H197" s="150"/>
      <c r="I197" s="150">
        <f>I198+I202+I206</f>
        <v>365.5</v>
      </c>
      <c r="J197" s="150">
        <f>J198+J202+J206</f>
        <v>365.5</v>
      </c>
      <c r="K197" s="150"/>
      <c r="L197" s="150">
        <f>L198+L202+L206</f>
        <v>365.5</v>
      </c>
    </row>
    <row r="198" spans="1:12" ht="26.25" x14ac:dyDescent="0.25">
      <c r="A198" s="178" t="s">
        <v>155</v>
      </c>
      <c r="B198" s="178"/>
      <c r="C198" s="179" t="s">
        <v>989</v>
      </c>
      <c r="D198" s="467">
        <f t="shared" ref="D198:L200" si="34">D199</f>
        <v>330</v>
      </c>
      <c r="E198" s="467"/>
      <c r="F198" s="467">
        <f t="shared" si="34"/>
        <v>330</v>
      </c>
      <c r="G198" s="153">
        <f t="shared" si="34"/>
        <v>330</v>
      </c>
      <c r="H198" s="153"/>
      <c r="I198" s="153">
        <f t="shared" si="34"/>
        <v>330</v>
      </c>
      <c r="J198" s="153">
        <f t="shared" si="34"/>
        <v>330</v>
      </c>
      <c r="K198" s="153"/>
      <c r="L198" s="153">
        <f t="shared" si="34"/>
        <v>330</v>
      </c>
    </row>
    <row r="199" spans="1:12" ht="26.25" x14ac:dyDescent="0.25">
      <c r="A199" s="154" t="s">
        <v>802</v>
      </c>
      <c r="B199" s="154"/>
      <c r="C199" s="155" t="s">
        <v>801</v>
      </c>
      <c r="D199" s="468">
        <f t="shared" si="34"/>
        <v>330</v>
      </c>
      <c r="E199" s="468"/>
      <c r="F199" s="468">
        <f t="shared" si="34"/>
        <v>330</v>
      </c>
      <c r="G199" s="156">
        <f t="shared" si="34"/>
        <v>330</v>
      </c>
      <c r="H199" s="156"/>
      <c r="I199" s="156">
        <f t="shared" si="34"/>
        <v>330</v>
      </c>
      <c r="J199" s="156">
        <f t="shared" si="34"/>
        <v>330</v>
      </c>
      <c r="K199" s="156"/>
      <c r="L199" s="156">
        <f t="shared" si="34"/>
        <v>330</v>
      </c>
    </row>
    <row r="200" spans="1:12" ht="26.25" x14ac:dyDescent="0.25">
      <c r="A200" s="157" t="s">
        <v>803</v>
      </c>
      <c r="B200" s="157"/>
      <c r="C200" s="180" t="s">
        <v>804</v>
      </c>
      <c r="D200" s="469">
        <f t="shared" si="34"/>
        <v>330</v>
      </c>
      <c r="E200" s="469"/>
      <c r="F200" s="469">
        <f t="shared" si="34"/>
        <v>330</v>
      </c>
      <c r="G200" s="160">
        <f t="shared" si="34"/>
        <v>330</v>
      </c>
      <c r="H200" s="160"/>
      <c r="I200" s="160">
        <f t="shared" si="34"/>
        <v>330</v>
      </c>
      <c r="J200" s="160">
        <f t="shared" si="34"/>
        <v>330</v>
      </c>
      <c r="K200" s="160"/>
      <c r="L200" s="160">
        <f t="shared" si="34"/>
        <v>330</v>
      </c>
    </row>
    <row r="201" spans="1:12" ht="26.25" x14ac:dyDescent="0.25">
      <c r="A201" s="157"/>
      <c r="B201" s="157" t="s">
        <v>64</v>
      </c>
      <c r="C201" s="159" t="s">
        <v>65</v>
      </c>
      <c r="D201" s="469">
        <v>330</v>
      </c>
      <c r="E201" s="469"/>
      <c r="F201" s="469">
        <v>330</v>
      </c>
      <c r="G201" s="160">
        <v>330</v>
      </c>
      <c r="H201" s="160"/>
      <c r="I201" s="160">
        <v>330</v>
      </c>
      <c r="J201" s="160">
        <v>330</v>
      </c>
      <c r="K201" s="160"/>
      <c r="L201" s="160">
        <v>330</v>
      </c>
    </row>
    <row r="202" spans="1:12" ht="26.25" x14ac:dyDescent="0.25">
      <c r="A202" s="151" t="s">
        <v>156</v>
      </c>
      <c r="B202" s="151"/>
      <c r="C202" s="152" t="s">
        <v>990</v>
      </c>
      <c r="D202" s="467">
        <f>D203</f>
        <v>19</v>
      </c>
      <c r="E202" s="467"/>
      <c r="F202" s="467">
        <f>F203</f>
        <v>19</v>
      </c>
      <c r="G202" s="153">
        <f>G203</f>
        <v>19</v>
      </c>
      <c r="H202" s="153"/>
      <c r="I202" s="153">
        <f>I203</f>
        <v>19</v>
      </c>
      <c r="J202" s="153">
        <f>J203</f>
        <v>19</v>
      </c>
      <c r="K202" s="153"/>
      <c r="L202" s="153">
        <f>L203</f>
        <v>19</v>
      </c>
    </row>
    <row r="203" spans="1:12" ht="26.25" x14ac:dyDescent="0.25">
      <c r="A203" s="154" t="s">
        <v>157</v>
      </c>
      <c r="B203" s="154"/>
      <c r="C203" s="155" t="s">
        <v>991</v>
      </c>
      <c r="D203" s="468">
        <f>D204</f>
        <v>19</v>
      </c>
      <c r="E203" s="468"/>
      <c r="F203" s="468">
        <f>F204</f>
        <v>19</v>
      </c>
      <c r="G203" s="156">
        <f t="shared" ref="G203:L203" si="35">G204</f>
        <v>19</v>
      </c>
      <c r="H203" s="156"/>
      <c r="I203" s="156">
        <f t="shared" si="35"/>
        <v>19</v>
      </c>
      <c r="J203" s="156">
        <f t="shared" si="35"/>
        <v>19</v>
      </c>
      <c r="K203" s="156"/>
      <c r="L203" s="156">
        <f t="shared" si="35"/>
        <v>19</v>
      </c>
    </row>
    <row r="204" spans="1:12" ht="26.25" x14ac:dyDescent="0.25">
      <c r="A204" s="157" t="s">
        <v>158</v>
      </c>
      <c r="B204" s="157"/>
      <c r="C204" s="159" t="s">
        <v>159</v>
      </c>
      <c r="D204" s="469">
        <f>D205</f>
        <v>19</v>
      </c>
      <c r="E204" s="469"/>
      <c r="F204" s="469">
        <f>F205</f>
        <v>19</v>
      </c>
      <c r="G204" s="160">
        <f>G205</f>
        <v>19</v>
      </c>
      <c r="H204" s="160"/>
      <c r="I204" s="160">
        <f>I205</f>
        <v>19</v>
      </c>
      <c r="J204" s="160">
        <f>J205</f>
        <v>19</v>
      </c>
      <c r="K204" s="160"/>
      <c r="L204" s="160">
        <f>L205</f>
        <v>19</v>
      </c>
    </row>
    <row r="205" spans="1:12" ht="26.25" x14ac:dyDescent="0.25">
      <c r="A205" s="158"/>
      <c r="B205" s="157" t="s">
        <v>64</v>
      </c>
      <c r="C205" s="159" t="s">
        <v>65</v>
      </c>
      <c r="D205" s="469">
        <v>19</v>
      </c>
      <c r="E205" s="469"/>
      <c r="F205" s="469">
        <v>19</v>
      </c>
      <c r="G205" s="160">
        <v>19</v>
      </c>
      <c r="H205" s="160"/>
      <c r="I205" s="160">
        <v>19</v>
      </c>
      <c r="J205" s="160">
        <v>19</v>
      </c>
      <c r="K205" s="160"/>
      <c r="L205" s="160">
        <v>19</v>
      </c>
    </row>
    <row r="206" spans="1:12" ht="26.25" x14ac:dyDescent="0.25">
      <c r="A206" s="151" t="s">
        <v>160</v>
      </c>
      <c r="B206" s="151"/>
      <c r="C206" s="152" t="s">
        <v>161</v>
      </c>
      <c r="D206" s="467">
        <f t="shared" ref="D206:L208" si="36">D207</f>
        <v>16.5</v>
      </c>
      <c r="E206" s="467"/>
      <c r="F206" s="467">
        <f t="shared" si="36"/>
        <v>16.5</v>
      </c>
      <c r="G206" s="153">
        <f t="shared" si="36"/>
        <v>16.5</v>
      </c>
      <c r="H206" s="153"/>
      <c r="I206" s="153">
        <f t="shared" si="36"/>
        <v>16.5</v>
      </c>
      <c r="J206" s="153">
        <f t="shared" si="36"/>
        <v>16.5</v>
      </c>
      <c r="K206" s="153"/>
      <c r="L206" s="153">
        <f t="shared" si="36"/>
        <v>16.5</v>
      </c>
    </row>
    <row r="207" spans="1:12" ht="26.25" x14ac:dyDescent="0.25">
      <c r="A207" s="154" t="s">
        <v>162</v>
      </c>
      <c r="B207" s="154"/>
      <c r="C207" s="155" t="s">
        <v>163</v>
      </c>
      <c r="D207" s="468">
        <f t="shared" si="36"/>
        <v>16.5</v>
      </c>
      <c r="E207" s="468"/>
      <c r="F207" s="468">
        <f t="shared" si="36"/>
        <v>16.5</v>
      </c>
      <c r="G207" s="156">
        <f t="shared" si="36"/>
        <v>16.5</v>
      </c>
      <c r="H207" s="156"/>
      <c r="I207" s="156">
        <f t="shared" si="36"/>
        <v>16.5</v>
      </c>
      <c r="J207" s="156">
        <f t="shared" si="36"/>
        <v>16.5</v>
      </c>
      <c r="K207" s="156"/>
      <c r="L207" s="156">
        <f t="shared" si="36"/>
        <v>16.5</v>
      </c>
    </row>
    <row r="208" spans="1:12" ht="26.25" x14ac:dyDescent="0.25">
      <c r="A208" s="157" t="s">
        <v>164</v>
      </c>
      <c r="B208" s="157"/>
      <c r="C208" s="159" t="s">
        <v>165</v>
      </c>
      <c r="D208" s="469">
        <f t="shared" si="36"/>
        <v>16.5</v>
      </c>
      <c r="E208" s="469"/>
      <c r="F208" s="469">
        <f t="shared" si="36"/>
        <v>16.5</v>
      </c>
      <c r="G208" s="160">
        <f t="shared" si="36"/>
        <v>16.5</v>
      </c>
      <c r="H208" s="160"/>
      <c r="I208" s="160">
        <f t="shared" si="36"/>
        <v>16.5</v>
      </c>
      <c r="J208" s="160">
        <f t="shared" si="36"/>
        <v>16.5</v>
      </c>
      <c r="K208" s="160"/>
      <c r="L208" s="160">
        <f t="shared" si="36"/>
        <v>16.5</v>
      </c>
    </row>
    <row r="209" spans="1:12" ht="26.25" x14ac:dyDescent="0.25">
      <c r="A209" s="157"/>
      <c r="B209" s="157" t="s">
        <v>64</v>
      </c>
      <c r="C209" s="159" t="s">
        <v>65</v>
      </c>
      <c r="D209" s="469">
        <v>16.5</v>
      </c>
      <c r="E209" s="469"/>
      <c r="F209" s="469">
        <v>16.5</v>
      </c>
      <c r="G209" s="160">
        <v>16.5</v>
      </c>
      <c r="H209" s="160"/>
      <c r="I209" s="160">
        <v>16.5</v>
      </c>
      <c r="J209" s="160">
        <v>16.5</v>
      </c>
      <c r="K209" s="160"/>
      <c r="L209" s="160">
        <v>16.5</v>
      </c>
    </row>
    <row r="210" spans="1:12" ht="26.25" x14ac:dyDescent="0.25">
      <c r="A210" s="148" t="s">
        <v>166</v>
      </c>
      <c r="B210" s="148"/>
      <c r="C210" s="166" t="s">
        <v>167</v>
      </c>
      <c r="D210" s="448">
        <f>D211+D220+D226+D234</f>
        <v>31791.9</v>
      </c>
      <c r="E210" s="448">
        <f>E211+E220+E226+E234</f>
        <v>-367.65100000000001</v>
      </c>
      <c r="F210" s="448">
        <f>F211+F220+F226+F234</f>
        <v>31424.249</v>
      </c>
      <c r="G210" s="150">
        <f>G211+G220+G226+G234+G239</f>
        <v>21588.100000000002</v>
      </c>
      <c r="H210" s="150">
        <f>H211+H220+H226+H234</f>
        <v>0</v>
      </c>
      <c r="I210" s="150">
        <f>I211+I220+I226+I234+I239</f>
        <v>21588.100000000002</v>
      </c>
      <c r="J210" s="150">
        <f>J211+J220+J226+J234</f>
        <v>21626.600000000002</v>
      </c>
      <c r="K210" s="150">
        <f>K211+K220+K226+K234</f>
        <v>0</v>
      </c>
      <c r="L210" s="150">
        <f>L211+L220+L226+L234</f>
        <v>21626.600000000002</v>
      </c>
    </row>
    <row r="211" spans="1:12" x14ac:dyDescent="0.25">
      <c r="A211" s="154" t="s">
        <v>168</v>
      </c>
      <c r="B211" s="154"/>
      <c r="C211" s="155" t="s">
        <v>169</v>
      </c>
      <c r="D211" s="468">
        <f t="shared" ref="D211:L211" si="37">D215+D212</f>
        <v>19122.2</v>
      </c>
      <c r="E211" s="468">
        <f t="shared" si="37"/>
        <v>-367.63499999999999</v>
      </c>
      <c r="F211" s="468">
        <f t="shared" si="37"/>
        <v>18754.565000000002</v>
      </c>
      <c r="G211" s="156">
        <f t="shared" si="37"/>
        <v>16771.900000000001</v>
      </c>
      <c r="H211" s="156">
        <f t="shared" si="37"/>
        <v>0</v>
      </c>
      <c r="I211" s="156">
        <f t="shared" si="37"/>
        <v>16771.900000000001</v>
      </c>
      <c r="J211" s="156">
        <f t="shared" si="37"/>
        <v>16848.400000000001</v>
      </c>
      <c r="K211" s="156">
        <f t="shared" si="37"/>
        <v>0</v>
      </c>
      <c r="L211" s="156">
        <f t="shared" si="37"/>
        <v>16848.400000000001</v>
      </c>
    </row>
    <row r="212" spans="1:12" x14ac:dyDescent="0.25">
      <c r="A212" s="157" t="s">
        <v>170</v>
      </c>
      <c r="B212" s="157"/>
      <c r="C212" s="159" t="s">
        <v>464</v>
      </c>
      <c r="D212" s="470">
        <f t="shared" ref="D212:L213" si="38">D213</f>
        <v>14185.1</v>
      </c>
      <c r="E212" s="470">
        <f>E213</f>
        <v>8.0000000000000002E-3</v>
      </c>
      <c r="F212" s="470">
        <f t="shared" si="38"/>
        <v>14185.108</v>
      </c>
      <c r="G212" s="160">
        <f t="shared" si="38"/>
        <v>16771.900000000001</v>
      </c>
      <c r="H212" s="160">
        <f>H213</f>
        <v>0</v>
      </c>
      <c r="I212" s="160">
        <f t="shared" si="38"/>
        <v>16771.900000000001</v>
      </c>
      <c r="J212" s="160">
        <f t="shared" si="38"/>
        <v>16848.400000000001</v>
      </c>
      <c r="K212" s="160">
        <f>K213</f>
        <v>0</v>
      </c>
      <c r="L212" s="160">
        <f t="shared" si="38"/>
        <v>16848.400000000001</v>
      </c>
    </row>
    <row r="213" spans="1:12" ht="64.5" x14ac:dyDescent="0.25">
      <c r="A213" s="181"/>
      <c r="B213" s="157"/>
      <c r="C213" s="159" t="s">
        <v>807</v>
      </c>
      <c r="D213" s="470">
        <f t="shared" si="38"/>
        <v>14185.1</v>
      </c>
      <c r="E213" s="470">
        <f>E214</f>
        <v>8.0000000000000002E-3</v>
      </c>
      <c r="F213" s="470">
        <f t="shared" si="38"/>
        <v>14185.108</v>
      </c>
      <c r="G213" s="160">
        <f t="shared" si="38"/>
        <v>16771.900000000001</v>
      </c>
      <c r="H213" s="160">
        <f>H214</f>
        <v>0</v>
      </c>
      <c r="I213" s="160">
        <f>I214</f>
        <v>16771.900000000001</v>
      </c>
      <c r="J213" s="160">
        <f t="shared" si="38"/>
        <v>16848.400000000001</v>
      </c>
      <c r="K213" s="160">
        <f>K214</f>
        <v>0</v>
      </c>
      <c r="L213" s="160">
        <f>L214</f>
        <v>16848.400000000001</v>
      </c>
    </row>
    <row r="214" spans="1:12" x14ac:dyDescent="0.25">
      <c r="A214" s="157"/>
      <c r="B214" s="157" t="s">
        <v>37</v>
      </c>
      <c r="C214" s="159" t="s">
        <v>38</v>
      </c>
      <c r="D214" s="470">
        <v>14185.1</v>
      </c>
      <c r="E214" s="470">
        <v>8.0000000000000002E-3</v>
      </c>
      <c r="F214" s="470">
        <f>SUM(D214:E214)</f>
        <v>14185.108</v>
      </c>
      <c r="G214" s="182">
        <v>16771.900000000001</v>
      </c>
      <c r="H214" s="182"/>
      <c r="I214" s="182">
        <v>16771.900000000001</v>
      </c>
      <c r="J214" s="182">
        <v>16848.400000000001</v>
      </c>
      <c r="K214" s="182"/>
      <c r="L214" s="182">
        <v>16848.400000000001</v>
      </c>
    </row>
    <row r="215" spans="1:12" ht="51.75" x14ac:dyDescent="0.25">
      <c r="A215" s="520" t="s">
        <v>171</v>
      </c>
      <c r="B215" s="157"/>
      <c r="C215" s="159" t="s">
        <v>172</v>
      </c>
      <c r="D215" s="470">
        <f>D216</f>
        <v>4937.1000000000004</v>
      </c>
      <c r="E215" s="470">
        <f>E216</f>
        <v>-367.64299999999997</v>
      </c>
      <c r="F215" s="470">
        <f>F216</f>
        <v>4569.4570000000003</v>
      </c>
      <c r="G215" s="160">
        <f>G216</f>
        <v>0</v>
      </c>
      <c r="H215" s="160"/>
      <c r="I215" s="160">
        <f>I216</f>
        <v>0</v>
      </c>
      <c r="J215" s="160">
        <v>0</v>
      </c>
      <c r="K215" s="160"/>
      <c r="L215" s="160">
        <v>0</v>
      </c>
    </row>
    <row r="216" spans="1:12" x14ac:dyDescent="0.25">
      <c r="A216" s="157"/>
      <c r="B216" s="157" t="s">
        <v>37</v>
      </c>
      <c r="C216" s="159" t="s">
        <v>38</v>
      </c>
      <c r="D216" s="470">
        <f>D219+D218+D217</f>
        <v>4937.1000000000004</v>
      </c>
      <c r="E216" s="470">
        <f>E217+E218+E219</f>
        <v>-367.64299999999997</v>
      </c>
      <c r="F216" s="470">
        <f>F219+F218+F217</f>
        <v>4569.4570000000003</v>
      </c>
      <c r="G216" s="160">
        <f t="shared" ref="G216:L216" si="39">G219</f>
        <v>0</v>
      </c>
      <c r="H216" s="160"/>
      <c r="I216" s="160">
        <f t="shared" si="39"/>
        <v>0</v>
      </c>
      <c r="J216" s="160">
        <f t="shared" si="39"/>
        <v>0</v>
      </c>
      <c r="K216" s="160"/>
      <c r="L216" s="160">
        <f t="shared" si="39"/>
        <v>0</v>
      </c>
    </row>
    <row r="217" spans="1:12" x14ac:dyDescent="0.25">
      <c r="A217" s="157"/>
      <c r="B217" s="157"/>
      <c r="C217" s="159" t="s">
        <v>173</v>
      </c>
      <c r="D217" s="470">
        <v>2577.8000000000002</v>
      </c>
      <c r="E217" s="470">
        <v>-191.93799999999999</v>
      </c>
      <c r="F217" s="470">
        <f t="shared" ref="F217:F218" si="40">SUM(D217:E217)</f>
        <v>2385.8620000000001</v>
      </c>
      <c r="G217" s="160"/>
      <c r="H217" s="160"/>
      <c r="I217" s="160">
        <v>0</v>
      </c>
      <c r="J217" s="160"/>
      <c r="K217" s="160"/>
      <c r="L217" s="160">
        <v>0</v>
      </c>
    </row>
    <row r="218" spans="1:12" x14ac:dyDescent="0.25">
      <c r="A218" s="157"/>
      <c r="B218" s="157"/>
      <c r="C218" s="159" t="s">
        <v>102</v>
      </c>
      <c r="D218" s="470">
        <v>859.3</v>
      </c>
      <c r="E218" s="470">
        <v>-64.012</v>
      </c>
      <c r="F218" s="470">
        <f t="shared" si="40"/>
        <v>795.28800000000001</v>
      </c>
      <c r="G218" s="160"/>
      <c r="H218" s="160"/>
      <c r="I218" s="160">
        <v>0</v>
      </c>
      <c r="J218" s="160"/>
      <c r="K218" s="160"/>
      <c r="L218" s="160">
        <v>0</v>
      </c>
    </row>
    <row r="219" spans="1:12" ht="14.25" customHeight="1" x14ac:dyDescent="0.25">
      <c r="A219" s="157"/>
      <c r="B219" s="157"/>
      <c r="C219" s="159" t="s">
        <v>146</v>
      </c>
      <c r="D219" s="470">
        <v>1500</v>
      </c>
      <c r="E219" s="470">
        <v>-111.693</v>
      </c>
      <c r="F219" s="470">
        <f>SUM(D219:E219)</f>
        <v>1388.307</v>
      </c>
      <c r="G219" s="160">
        <v>0</v>
      </c>
      <c r="H219" s="160"/>
      <c r="I219" s="160">
        <v>0</v>
      </c>
      <c r="J219" s="160">
        <v>0</v>
      </c>
      <c r="K219" s="160"/>
      <c r="L219" s="160">
        <v>0</v>
      </c>
    </row>
    <row r="220" spans="1:12" ht="30.75" customHeight="1" x14ac:dyDescent="0.25">
      <c r="A220" s="154" t="s">
        <v>174</v>
      </c>
      <c r="B220" s="154"/>
      <c r="C220" s="155" t="s">
        <v>175</v>
      </c>
      <c r="D220" s="468">
        <f>D221+D224</f>
        <v>0</v>
      </c>
      <c r="E220" s="468"/>
      <c r="F220" s="468">
        <f>F221+F224</f>
        <v>0</v>
      </c>
      <c r="G220" s="156">
        <f>G221+G224</f>
        <v>0</v>
      </c>
      <c r="H220" s="156"/>
      <c r="I220" s="156">
        <f>I221+I224</f>
        <v>0</v>
      </c>
      <c r="J220" s="156">
        <f>J221+J224</f>
        <v>0</v>
      </c>
      <c r="K220" s="156"/>
      <c r="L220" s="156">
        <f>L221+L224</f>
        <v>0</v>
      </c>
    </row>
    <row r="221" spans="1:12" ht="39" x14ac:dyDescent="0.25">
      <c r="A221" s="157" t="s">
        <v>176</v>
      </c>
      <c r="B221" s="157"/>
      <c r="C221" s="159" t="s">
        <v>177</v>
      </c>
      <c r="D221" s="469">
        <f>D222+D223</f>
        <v>0</v>
      </c>
      <c r="E221" s="469"/>
      <c r="F221" s="469">
        <f>F222+F223</f>
        <v>0</v>
      </c>
      <c r="G221" s="160">
        <f>G222+G223</f>
        <v>0</v>
      </c>
      <c r="H221" s="160"/>
      <c r="I221" s="160">
        <f>I222+I223</f>
        <v>0</v>
      </c>
      <c r="J221" s="160">
        <f>J222+J223</f>
        <v>0</v>
      </c>
      <c r="K221" s="160"/>
      <c r="L221" s="160">
        <f>L222+L223</f>
        <v>0</v>
      </c>
    </row>
    <row r="222" spans="1:12" ht="28.5" customHeight="1" x14ac:dyDescent="0.25">
      <c r="A222" s="157"/>
      <c r="B222" s="157" t="s">
        <v>17</v>
      </c>
      <c r="C222" s="159" t="s">
        <v>18</v>
      </c>
      <c r="D222" s="469">
        <v>0</v>
      </c>
      <c r="E222" s="469"/>
      <c r="F222" s="469">
        <v>0</v>
      </c>
      <c r="G222" s="160">
        <v>0</v>
      </c>
      <c r="H222" s="160"/>
      <c r="I222" s="160">
        <v>0</v>
      </c>
      <c r="J222" s="160">
        <v>0</v>
      </c>
      <c r="K222" s="160"/>
      <c r="L222" s="160">
        <v>0</v>
      </c>
    </row>
    <row r="223" spans="1:12" ht="30" customHeight="1" x14ac:dyDescent="0.25">
      <c r="A223" s="158"/>
      <c r="B223" s="157" t="s">
        <v>37</v>
      </c>
      <c r="C223" s="159" t="s">
        <v>38</v>
      </c>
      <c r="D223" s="469">
        <v>0</v>
      </c>
      <c r="E223" s="469"/>
      <c r="F223" s="469">
        <v>0</v>
      </c>
      <c r="G223" s="160">
        <v>0</v>
      </c>
      <c r="H223" s="160"/>
      <c r="I223" s="160">
        <v>0</v>
      </c>
      <c r="J223" s="160">
        <v>0</v>
      </c>
      <c r="K223" s="160"/>
      <c r="L223" s="160">
        <v>0</v>
      </c>
    </row>
    <row r="224" spans="1:12" ht="30.75" customHeight="1" x14ac:dyDescent="0.25">
      <c r="A224" s="157" t="s">
        <v>178</v>
      </c>
      <c r="B224" s="157"/>
      <c r="C224" s="159" t="s">
        <v>179</v>
      </c>
      <c r="D224" s="469">
        <f>D225</f>
        <v>0</v>
      </c>
      <c r="E224" s="469"/>
      <c r="F224" s="469">
        <f>F225</f>
        <v>0</v>
      </c>
      <c r="G224" s="160">
        <f>G225</f>
        <v>0</v>
      </c>
      <c r="H224" s="160"/>
      <c r="I224" s="160">
        <f>I225</f>
        <v>0</v>
      </c>
      <c r="J224" s="160">
        <f>J225</f>
        <v>0</v>
      </c>
      <c r="K224" s="160"/>
      <c r="L224" s="160">
        <f>L225</f>
        <v>0</v>
      </c>
    </row>
    <row r="225" spans="1:12" ht="27.75" customHeight="1" x14ac:dyDescent="0.25">
      <c r="A225" s="158"/>
      <c r="B225" s="157" t="s">
        <v>17</v>
      </c>
      <c r="C225" s="159" t="s">
        <v>18</v>
      </c>
      <c r="D225" s="469">
        <v>0</v>
      </c>
      <c r="E225" s="469"/>
      <c r="F225" s="469">
        <v>0</v>
      </c>
      <c r="G225" s="160">
        <v>0</v>
      </c>
      <c r="H225" s="160"/>
      <c r="I225" s="160">
        <v>0</v>
      </c>
      <c r="J225" s="160">
        <v>0</v>
      </c>
      <c r="K225" s="160"/>
      <c r="L225" s="160">
        <v>0</v>
      </c>
    </row>
    <row r="226" spans="1:12" ht="39" x14ac:dyDescent="0.25">
      <c r="A226" s="154" t="s">
        <v>180</v>
      </c>
      <c r="B226" s="154"/>
      <c r="C226" s="155" t="s">
        <v>181</v>
      </c>
      <c r="D226" s="468">
        <f t="shared" ref="D226:L226" si="41">D227+D229+D231</f>
        <v>11843.799999999997</v>
      </c>
      <c r="E226" s="468">
        <f t="shared" si="41"/>
        <v>-1.9E-2</v>
      </c>
      <c r="F226" s="468">
        <f t="shared" si="41"/>
        <v>11843.780999999999</v>
      </c>
      <c r="G226" s="156">
        <f t="shared" si="41"/>
        <v>4766.2</v>
      </c>
      <c r="H226" s="156">
        <f t="shared" si="41"/>
        <v>0</v>
      </c>
      <c r="I226" s="156">
        <f t="shared" si="41"/>
        <v>4766.2</v>
      </c>
      <c r="J226" s="156">
        <f t="shared" si="41"/>
        <v>4778.2</v>
      </c>
      <c r="K226" s="156">
        <f t="shared" si="41"/>
        <v>0</v>
      </c>
      <c r="L226" s="156">
        <f t="shared" si="41"/>
        <v>4778.2</v>
      </c>
    </row>
    <row r="227" spans="1:12" ht="39" x14ac:dyDescent="0.25">
      <c r="A227" s="157" t="s">
        <v>182</v>
      </c>
      <c r="B227" s="157"/>
      <c r="C227" s="159" t="s">
        <v>183</v>
      </c>
      <c r="D227" s="470">
        <f>D228</f>
        <v>95.9</v>
      </c>
      <c r="E227" s="470">
        <f>E228</f>
        <v>-3.0000000000000001E-3</v>
      </c>
      <c r="F227" s="470">
        <f>F228</f>
        <v>95.897000000000006</v>
      </c>
      <c r="G227" s="160">
        <f>G228</f>
        <v>107.9</v>
      </c>
      <c r="H227" s="160"/>
      <c r="I227" s="160">
        <f>I228</f>
        <v>107.9</v>
      </c>
      <c r="J227" s="160">
        <f>J228</f>
        <v>119.9</v>
      </c>
      <c r="K227" s="160"/>
      <c r="L227" s="160">
        <f>L228</f>
        <v>119.9</v>
      </c>
    </row>
    <row r="228" spans="1:12" ht="26.25" x14ac:dyDescent="0.25">
      <c r="A228" s="158"/>
      <c r="B228" s="157" t="s">
        <v>17</v>
      </c>
      <c r="C228" s="159" t="s">
        <v>18</v>
      </c>
      <c r="D228" s="470">
        <v>95.9</v>
      </c>
      <c r="E228" s="470">
        <v>-3.0000000000000001E-3</v>
      </c>
      <c r="F228" s="470">
        <f>SUM(D228:E228)</f>
        <v>95.897000000000006</v>
      </c>
      <c r="G228" s="160">
        <v>107.9</v>
      </c>
      <c r="H228" s="160"/>
      <c r="I228" s="160">
        <v>107.9</v>
      </c>
      <c r="J228" s="160">
        <v>119.9</v>
      </c>
      <c r="K228" s="160"/>
      <c r="L228" s="160">
        <v>119.9</v>
      </c>
    </row>
    <row r="229" spans="1:12" ht="64.5" x14ac:dyDescent="0.25">
      <c r="A229" s="157" t="s">
        <v>184</v>
      </c>
      <c r="B229" s="157"/>
      <c r="C229" s="183" t="s">
        <v>185</v>
      </c>
      <c r="D229" s="470">
        <f>D230</f>
        <v>11685.099999999999</v>
      </c>
      <c r="E229" s="470">
        <f>E230</f>
        <v>-1.6E-2</v>
      </c>
      <c r="F229" s="470">
        <f>F230</f>
        <v>11685.083999999999</v>
      </c>
      <c r="G229" s="160">
        <f>G230</f>
        <v>4593.2</v>
      </c>
      <c r="H229" s="160"/>
      <c r="I229" s="160">
        <f>I230</f>
        <v>4593.2</v>
      </c>
      <c r="J229" s="160">
        <f>J230</f>
        <v>4593.2</v>
      </c>
      <c r="K229" s="160"/>
      <c r="L229" s="160">
        <f>L230</f>
        <v>4593.2</v>
      </c>
    </row>
    <row r="230" spans="1:12" ht="26.25" x14ac:dyDescent="0.25">
      <c r="A230" s="158"/>
      <c r="B230" s="157" t="s">
        <v>186</v>
      </c>
      <c r="C230" s="159" t="s">
        <v>187</v>
      </c>
      <c r="D230" s="470">
        <f>7091.9+4593.2</f>
        <v>11685.099999999999</v>
      </c>
      <c r="E230" s="470">
        <v>-1.6E-2</v>
      </c>
      <c r="F230" s="470">
        <f>SUM(D230:E230)</f>
        <v>11685.083999999999</v>
      </c>
      <c r="G230" s="160">
        <v>4593.2</v>
      </c>
      <c r="H230" s="160"/>
      <c r="I230" s="160">
        <v>4593.2</v>
      </c>
      <c r="J230" s="160">
        <v>4593.2</v>
      </c>
      <c r="K230" s="160"/>
      <c r="L230" s="160">
        <v>4593.2</v>
      </c>
    </row>
    <row r="231" spans="1:12" ht="51" x14ac:dyDescent="0.25">
      <c r="A231" s="157" t="s">
        <v>188</v>
      </c>
      <c r="B231" s="157"/>
      <c r="C231" s="28" t="s">
        <v>455</v>
      </c>
      <c r="D231" s="470">
        <f>D232+D233</f>
        <v>62.800000000000004</v>
      </c>
      <c r="E231" s="470">
        <f t="shared" ref="E231:L231" si="42">SUM(E232:E233)</f>
        <v>0</v>
      </c>
      <c r="F231" s="470">
        <f t="shared" si="42"/>
        <v>62.800000000000004</v>
      </c>
      <c r="G231" s="160">
        <f t="shared" si="42"/>
        <v>65.099999999999994</v>
      </c>
      <c r="H231" s="160">
        <f t="shared" si="42"/>
        <v>0</v>
      </c>
      <c r="I231" s="160">
        <f t="shared" si="42"/>
        <v>65.099999999999994</v>
      </c>
      <c r="J231" s="160">
        <f t="shared" si="42"/>
        <v>65.099999999999994</v>
      </c>
      <c r="K231" s="160">
        <f t="shared" si="42"/>
        <v>0</v>
      </c>
      <c r="L231" s="160">
        <f t="shared" si="42"/>
        <v>65.099999999999994</v>
      </c>
    </row>
    <row r="232" spans="1:12" ht="51.75" x14ac:dyDescent="0.25">
      <c r="A232" s="157"/>
      <c r="B232" s="157" t="s">
        <v>30</v>
      </c>
      <c r="C232" s="26" t="s">
        <v>450</v>
      </c>
      <c r="D232" s="473">
        <v>45.7</v>
      </c>
      <c r="E232" s="473"/>
      <c r="F232" s="473">
        <f>SUM(D232:E232)</f>
        <v>45.7</v>
      </c>
      <c r="G232" s="29">
        <v>47.9</v>
      </c>
      <c r="H232" s="29"/>
      <c r="I232" s="29">
        <f>SUM(G232:H232)</f>
        <v>47.9</v>
      </c>
      <c r="J232" s="29">
        <v>47.9</v>
      </c>
      <c r="K232" s="29"/>
      <c r="L232" s="29">
        <f>SUM(J232:K232)</f>
        <v>47.9</v>
      </c>
    </row>
    <row r="233" spans="1:12" ht="26.25" x14ac:dyDescent="0.25">
      <c r="A233" s="157"/>
      <c r="B233" s="157" t="s">
        <v>17</v>
      </c>
      <c r="C233" s="159" t="s">
        <v>18</v>
      </c>
      <c r="D233" s="472">
        <v>17.100000000000001</v>
      </c>
      <c r="E233" s="472"/>
      <c r="F233" s="472">
        <v>17.100000000000001</v>
      </c>
      <c r="G233" s="29">
        <v>17.2</v>
      </c>
      <c r="H233" s="29"/>
      <c r="I233" s="29">
        <v>17.2</v>
      </c>
      <c r="J233" s="29">
        <v>17.2</v>
      </c>
      <c r="K233" s="29"/>
      <c r="L233" s="29">
        <v>17.2</v>
      </c>
    </row>
    <row r="234" spans="1:12" ht="39" customHeight="1" x14ac:dyDescent="0.25">
      <c r="A234" s="154" t="s">
        <v>725</v>
      </c>
      <c r="B234" s="154"/>
      <c r="C234" s="155" t="s">
        <v>726</v>
      </c>
      <c r="D234" s="468">
        <f t="shared" ref="D234:J234" si="43">D235</f>
        <v>825.9</v>
      </c>
      <c r="E234" s="468">
        <f t="shared" si="43"/>
        <v>3.0000000000000001E-3</v>
      </c>
      <c r="F234" s="468">
        <f t="shared" si="43"/>
        <v>825.90300000000002</v>
      </c>
      <c r="G234" s="156">
        <f t="shared" si="43"/>
        <v>0</v>
      </c>
      <c r="H234" s="156">
        <f t="shared" si="43"/>
        <v>0</v>
      </c>
      <c r="I234" s="156">
        <f t="shared" si="43"/>
        <v>0</v>
      </c>
      <c r="J234" s="156">
        <f t="shared" si="43"/>
        <v>0</v>
      </c>
      <c r="K234" s="156"/>
      <c r="L234" s="156">
        <f>L235</f>
        <v>0</v>
      </c>
    </row>
    <row r="235" spans="1:12" ht="39" x14ac:dyDescent="0.25">
      <c r="A235" s="157" t="s">
        <v>999</v>
      </c>
      <c r="B235" s="157"/>
      <c r="C235" s="159" t="s">
        <v>1000</v>
      </c>
      <c r="D235" s="469">
        <f t="shared" ref="D235:I235" si="44">D236</f>
        <v>825.9</v>
      </c>
      <c r="E235" s="469">
        <f t="shared" si="44"/>
        <v>3.0000000000000001E-3</v>
      </c>
      <c r="F235" s="469">
        <f t="shared" si="44"/>
        <v>825.90300000000002</v>
      </c>
      <c r="G235" s="160">
        <f t="shared" si="44"/>
        <v>0</v>
      </c>
      <c r="H235" s="160"/>
      <c r="I235" s="160">
        <f t="shared" si="44"/>
        <v>0</v>
      </c>
      <c r="J235" s="160">
        <v>0</v>
      </c>
      <c r="K235" s="160"/>
      <c r="L235" s="160">
        <v>0</v>
      </c>
    </row>
    <row r="236" spans="1:12" x14ac:dyDescent="0.25">
      <c r="A236" s="157"/>
      <c r="B236" s="157" t="s">
        <v>37</v>
      </c>
      <c r="C236" s="159" t="s">
        <v>38</v>
      </c>
      <c r="D236" s="469">
        <f t="shared" ref="D236:I236" si="45">SUM(D237:D238)</f>
        <v>825.9</v>
      </c>
      <c r="E236" s="469">
        <f t="shared" si="45"/>
        <v>3.0000000000000001E-3</v>
      </c>
      <c r="F236" s="469">
        <f t="shared" si="45"/>
        <v>825.90300000000002</v>
      </c>
      <c r="G236" s="160">
        <f t="shared" si="45"/>
        <v>0</v>
      </c>
      <c r="H236" s="160"/>
      <c r="I236" s="160">
        <f t="shared" si="45"/>
        <v>0</v>
      </c>
      <c r="J236" s="160">
        <v>0</v>
      </c>
      <c r="K236" s="160"/>
      <c r="L236" s="160">
        <v>0</v>
      </c>
    </row>
    <row r="237" spans="1:12" x14ac:dyDescent="0.25">
      <c r="A237" s="157"/>
      <c r="B237" s="157"/>
      <c r="C237" s="159" t="s">
        <v>102</v>
      </c>
      <c r="D237" s="470">
        <v>784.6</v>
      </c>
      <c r="E237" s="470">
        <v>8.0000000000000002E-3</v>
      </c>
      <c r="F237" s="470">
        <f>SUM(D237:E237)</f>
        <v>784.60800000000006</v>
      </c>
      <c r="G237" s="160">
        <v>0</v>
      </c>
      <c r="H237" s="160"/>
      <c r="I237" s="160">
        <v>0</v>
      </c>
      <c r="J237" s="160">
        <v>0</v>
      </c>
      <c r="K237" s="160"/>
      <c r="L237" s="160">
        <v>0</v>
      </c>
    </row>
    <row r="238" spans="1:12" x14ac:dyDescent="0.25">
      <c r="A238" s="157"/>
      <c r="B238" s="157"/>
      <c r="C238" s="159" t="s">
        <v>146</v>
      </c>
      <c r="D238" s="470">
        <v>41.3</v>
      </c>
      <c r="E238" s="470">
        <v>-5.0000000000000001E-3</v>
      </c>
      <c r="F238" s="470">
        <f>SUM(D238:E238)</f>
        <v>41.294999999999995</v>
      </c>
      <c r="G238" s="160">
        <v>0</v>
      </c>
      <c r="H238" s="160"/>
      <c r="I238" s="160">
        <v>0</v>
      </c>
      <c r="J238" s="160">
        <v>0</v>
      </c>
      <c r="K238" s="160"/>
      <c r="L238" s="160">
        <v>0</v>
      </c>
    </row>
    <row r="239" spans="1:12" x14ac:dyDescent="0.25">
      <c r="A239" s="154" t="s">
        <v>727</v>
      </c>
      <c r="B239" s="154"/>
      <c r="C239" s="155" t="s">
        <v>728</v>
      </c>
      <c r="D239" s="468">
        <f>D241</f>
        <v>0</v>
      </c>
      <c r="E239" s="468"/>
      <c r="F239" s="468">
        <f>F241</f>
        <v>0</v>
      </c>
      <c r="G239" s="156">
        <f>G241</f>
        <v>50</v>
      </c>
      <c r="H239" s="156"/>
      <c r="I239" s="156">
        <f>I241</f>
        <v>50</v>
      </c>
      <c r="J239" s="156">
        <f>J241</f>
        <v>0</v>
      </c>
      <c r="K239" s="156"/>
      <c r="L239" s="156">
        <f>L241</f>
        <v>0</v>
      </c>
    </row>
    <row r="240" spans="1:12" s="184" customFormat="1" ht="39" x14ac:dyDescent="0.25">
      <c r="A240" s="157" t="s">
        <v>730</v>
      </c>
      <c r="B240" s="158"/>
      <c r="C240" s="159" t="s">
        <v>729</v>
      </c>
      <c r="D240" s="466">
        <v>0</v>
      </c>
      <c r="E240" s="466"/>
      <c r="F240" s="466">
        <v>0</v>
      </c>
      <c r="G240" s="147">
        <v>50</v>
      </c>
      <c r="H240" s="147"/>
      <c r="I240" s="147">
        <v>50</v>
      </c>
      <c r="J240" s="147">
        <v>0</v>
      </c>
      <c r="K240" s="147"/>
      <c r="L240" s="147">
        <v>0</v>
      </c>
    </row>
    <row r="241" spans="1:12" ht="26.25" x14ac:dyDescent="0.25">
      <c r="A241" s="157"/>
      <c r="B241" s="157" t="s">
        <v>17</v>
      </c>
      <c r="C241" s="159" t="s">
        <v>18</v>
      </c>
      <c r="D241" s="469">
        <v>0</v>
      </c>
      <c r="E241" s="469"/>
      <c r="F241" s="469">
        <v>0</v>
      </c>
      <c r="G241" s="160">
        <v>50</v>
      </c>
      <c r="H241" s="160"/>
      <c r="I241" s="160">
        <v>50</v>
      </c>
      <c r="J241" s="160">
        <v>0</v>
      </c>
      <c r="K241" s="160"/>
      <c r="L241" s="160">
        <v>0</v>
      </c>
    </row>
    <row r="242" spans="1:12" s="185" customFormat="1" ht="26.25" x14ac:dyDescent="0.25">
      <c r="A242" s="148" t="s">
        <v>189</v>
      </c>
      <c r="B242" s="148"/>
      <c r="C242" s="166" t="s">
        <v>1109</v>
      </c>
      <c r="D242" s="448">
        <f t="shared" ref="D242:J242" si="46">D243</f>
        <v>4639.2</v>
      </c>
      <c r="E242" s="448">
        <f t="shared" si="46"/>
        <v>-447.76600000000002</v>
      </c>
      <c r="F242" s="448">
        <f t="shared" si="46"/>
        <v>4191.4340000000002</v>
      </c>
      <c r="G242" s="150">
        <f t="shared" si="46"/>
        <v>132.19999999999999</v>
      </c>
      <c r="H242" s="150">
        <f t="shared" si="46"/>
        <v>0</v>
      </c>
      <c r="I242" s="150">
        <f t="shared" si="46"/>
        <v>132.19999999999999</v>
      </c>
      <c r="J242" s="150">
        <f t="shared" si="46"/>
        <v>5166</v>
      </c>
      <c r="K242" s="150"/>
      <c r="L242" s="150">
        <f>L243</f>
        <v>5166</v>
      </c>
    </row>
    <row r="243" spans="1:12" ht="26.25" x14ac:dyDescent="0.25">
      <c r="A243" s="154" t="s">
        <v>731</v>
      </c>
      <c r="B243" s="154"/>
      <c r="C243" s="155" t="s">
        <v>190</v>
      </c>
      <c r="D243" s="468">
        <f>D244+D247+D249+D256+D254+D258+D252</f>
        <v>4639.2</v>
      </c>
      <c r="E243" s="468">
        <f>E244+E247+E249+E256+E254+E258+E252</f>
        <v>-447.76600000000002</v>
      </c>
      <c r="F243" s="468">
        <f>F244+F247+F249+F256+F254+F258+F252</f>
        <v>4191.4340000000002</v>
      </c>
      <c r="G243" s="156">
        <f>G244+G247+G249+G256+G254+G258</f>
        <v>132.19999999999999</v>
      </c>
      <c r="H243" s="156">
        <f>H244+H247+H249+H256+H254+H258</f>
        <v>0</v>
      </c>
      <c r="I243" s="156">
        <f>I244+I247+I249+I256+I254+I258</f>
        <v>132.19999999999999</v>
      </c>
      <c r="J243" s="156">
        <f>J244+J247+J249+J256+J254</f>
        <v>5166</v>
      </c>
      <c r="K243" s="156"/>
      <c r="L243" s="156">
        <f>L244+L247+L249+L256+L254</f>
        <v>5166</v>
      </c>
    </row>
    <row r="244" spans="1:12" ht="39" x14ac:dyDescent="0.25">
      <c r="A244" s="157" t="s">
        <v>732</v>
      </c>
      <c r="B244" s="157"/>
      <c r="C244" s="159" t="s">
        <v>441</v>
      </c>
      <c r="D244" s="469">
        <f>D245</f>
        <v>891.9</v>
      </c>
      <c r="E244" s="470">
        <f>SUM(E246+E245)</f>
        <v>-68.5</v>
      </c>
      <c r="F244" s="469">
        <f>F245+F246</f>
        <v>823.4</v>
      </c>
      <c r="G244" s="160">
        <f>G245</f>
        <v>0</v>
      </c>
      <c r="H244" s="160"/>
      <c r="I244" s="160">
        <f>I245</f>
        <v>0</v>
      </c>
      <c r="J244" s="160">
        <f>J245</f>
        <v>900</v>
      </c>
      <c r="K244" s="160"/>
      <c r="L244" s="160">
        <f>L245</f>
        <v>900</v>
      </c>
    </row>
    <row r="245" spans="1:12" ht="26.25" x14ac:dyDescent="0.25">
      <c r="A245" s="157"/>
      <c r="B245" s="157" t="s">
        <v>17</v>
      </c>
      <c r="C245" s="159" t="s">
        <v>18</v>
      </c>
      <c r="D245" s="469">
        <v>891.9</v>
      </c>
      <c r="E245" s="472">
        <f>-25.7-68.5</f>
        <v>-94.2</v>
      </c>
      <c r="F245" s="469">
        <f>SUM(D245:E245)</f>
        <v>797.69999999999993</v>
      </c>
      <c r="G245" s="160">
        <v>0</v>
      </c>
      <c r="H245" s="160"/>
      <c r="I245" s="160">
        <v>0</v>
      </c>
      <c r="J245" s="160">
        <v>900</v>
      </c>
      <c r="K245" s="160"/>
      <c r="L245" s="160">
        <v>900</v>
      </c>
    </row>
    <row r="246" spans="1:12" x14ac:dyDescent="0.25">
      <c r="A246" s="520"/>
      <c r="B246" s="27" t="s">
        <v>32</v>
      </c>
      <c r="C246" s="30" t="s">
        <v>33</v>
      </c>
      <c r="D246" s="469"/>
      <c r="E246" s="472">
        <v>25.7</v>
      </c>
      <c r="F246" s="469">
        <v>25.7</v>
      </c>
      <c r="G246" s="160"/>
      <c r="H246" s="160"/>
      <c r="I246" s="160"/>
      <c r="J246" s="160"/>
      <c r="K246" s="160"/>
      <c r="L246" s="160"/>
    </row>
    <row r="247" spans="1:12" ht="39" x14ac:dyDescent="0.25">
      <c r="A247" s="157" t="s">
        <v>733</v>
      </c>
      <c r="B247" s="157"/>
      <c r="C247" s="186" t="s">
        <v>810</v>
      </c>
      <c r="D247" s="469">
        <f>D248</f>
        <v>106.6</v>
      </c>
      <c r="E247" s="469"/>
      <c r="F247" s="469">
        <f>F248</f>
        <v>106.6</v>
      </c>
      <c r="G247" s="160">
        <f>G248</f>
        <v>120</v>
      </c>
      <c r="H247" s="160"/>
      <c r="I247" s="160">
        <f>I248</f>
        <v>120</v>
      </c>
      <c r="J247" s="160">
        <f>J248</f>
        <v>150</v>
      </c>
      <c r="K247" s="160"/>
      <c r="L247" s="160">
        <f>L248</f>
        <v>150</v>
      </c>
    </row>
    <row r="248" spans="1:12" ht="26.25" x14ac:dyDescent="0.25">
      <c r="A248" s="157"/>
      <c r="B248" s="157" t="s">
        <v>17</v>
      </c>
      <c r="C248" s="159" t="s">
        <v>18</v>
      </c>
      <c r="D248" s="469">
        <v>106.6</v>
      </c>
      <c r="E248" s="469"/>
      <c r="F248" s="469">
        <v>106.6</v>
      </c>
      <c r="G248" s="160">
        <v>120</v>
      </c>
      <c r="H248" s="160"/>
      <c r="I248" s="160">
        <v>120</v>
      </c>
      <c r="J248" s="160">
        <v>150</v>
      </c>
      <c r="K248" s="160"/>
      <c r="L248" s="160">
        <v>150</v>
      </c>
    </row>
    <row r="249" spans="1:12" ht="26.25" x14ac:dyDescent="0.25">
      <c r="A249" s="157" t="s">
        <v>734</v>
      </c>
      <c r="B249" s="157"/>
      <c r="C249" s="186" t="s">
        <v>502</v>
      </c>
      <c r="D249" s="469">
        <v>2478.3000000000002</v>
      </c>
      <c r="E249" s="469">
        <f>E251+E250</f>
        <v>-219.49999999999997</v>
      </c>
      <c r="F249" s="469">
        <f>F250+F251</f>
        <v>2258.8000000000002</v>
      </c>
      <c r="G249" s="160">
        <f>G250+G251</f>
        <v>0</v>
      </c>
      <c r="H249" s="160"/>
      <c r="I249" s="160">
        <f>I250+I251</f>
        <v>0</v>
      </c>
      <c r="J249" s="160">
        <f>J250+J251</f>
        <v>4116</v>
      </c>
      <c r="K249" s="160"/>
      <c r="L249" s="160">
        <f>L250+L251</f>
        <v>4116</v>
      </c>
    </row>
    <row r="250" spans="1:12" ht="26.25" x14ac:dyDescent="0.25">
      <c r="A250" s="157"/>
      <c r="B250" s="157" t="s">
        <v>17</v>
      </c>
      <c r="C250" s="159" t="s">
        <v>18</v>
      </c>
      <c r="D250" s="469">
        <v>1804.4</v>
      </c>
      <c r="E250" s="469">
        <v>181.9</v>
      </c>
      <c r="F250" s="469">
        <f>SUM(D250:E250)</f>
        <v>1986.3000000000002</v>
      </c>
      <c r="G250" s="160">
        <v>0</v>
      </c>
      <c r="H250" s="160"/>
      <c r="I250" s="160">
        <v>0</v>
      </c>
      <c r="J250" s="160">
        <v>4116</v>
      </c>
      <c r="K250" s="160"/>
      <c r="L250" s="160">
        <v>4116</v>
      </c>
    </row>
    <row r="251" spans="1:12" x14ac:dyDescent="0.25">
      <c r="A251" s="157"/>
      <c r="B251" s="157" t="s">
        <v>37</v>
      </c>
      <c r="C251" s="159" t="s">
        <v>38</v>
      </c>
      <c r="D251" s="469">
        <v>673.9</v>
      </c>
      <c r="E251" s="469">
        <f>-219.5-181.9</f>
        <v>-401.4</v>
      </c>
      <c r="F251" s="469">
        <f>SUM(D251:E251)</f>
        <v>272.5</v>
      </c>
      <c r="G251" s="160">
        <v>0</v>
      </c>
      <c r="H251" s="160"/>
      <c r="I251" s="160">
        <v>0</v>
      </c>
      <c r="J251" s="160">
        <v>0</v>
      </c>
      <c r="K251" s="160"/>
      <c r="L251" s="160">
        <v>0</v>
      </c>
    </row>
    <row r="252" spans="1:12" ht="33" customHeight="1" x14ac:dyDescent="0.25">
      <c r="A252" s="32" t="s">
        <v>1066</v>
      </c>
      <c r="B252" s="32"/>
      <c r="C252" s="2" t="s">
        <v>1077</v>
      </c>
      <c r="D252" s="469">
        <v>0</v>
      </c>
      <c r="E252" s="469"/>
      <c r="F252" s="469">
        <v>0</v>
      </c>
      <c r="G252" s="160"/>
      <c r="H252" s="160"/>
      <c r="I252" s="160">
        <v>0</v>
      </c>
      <c r="J252" s="160"/>
      <c r="K252" s="160"/>
      <c r="L252" s="160">
        <v>0</v>
      </c>
    </row>
    <row r="253" spans="1:12" ht="26.25" x14ac:dyDescent="0.25">
      <c r="A253" s="32"/>
      <c r="B253" s="32" t="s">
        <v>186</v>
      </c>
      <c r="C253" s="26" t="s">
        <v>187</v>
      </c>
      <c r="D253" s="469">
        <v>0</v>
      </c>
      <c r="E253" s="469"/>
      <c r="F253" s="469">
        <v>0</v>
      </c>
      <c r="G253" s="160"/>
      <c r="H253" s="160"/>
      <c r="I253" s="160">
        <v>0</v>
      </c>
      <c r="J253" s="160"/>
      <c r="K253" s="160"/>
      <c r="L253" s="160">
        <v>0</v>
      </c>
    </row>
    <row r="254" spans="1:12" ht="26.25" x14ac:dyDescent="0.25">
      <c r="A254" s="157" t="s">
        <v>735</v>
      </c>
      <c r="B254" s="157"/>
      <c r="C254" s="159" t="s">
        <v>1078</v>
      </c>
      <c r="D254" s="469">
        <f>D255</f>
        <v>226.5</v>
      </c>
      <c r="E254" s="469">
        <f>E255</f>
        <v>-159.80000000000001</v>
      </c>
      <c r="F254" s="469">
        <f>F255</f>
        <v>66.699999999999989</v>
      </c>
      <c r="G254" s="160">
        <f>G255</f>
        <v>0</v>
      </c>
      <c r="H254" s="160"/>
      <c r="I254" s="160">
        <f>I255</f>
        <v>0</v>
      </c>
      <c r="J254" s="160">
        <f>J255</f>
        <v>0</v>
      </c>
      <c r="K254" s="160"/>
      <c r="L254" s="160">
        <f>L255</f>
        <v>0</v>
      </c>
    </row>
    <row r="255" spans="1:12" ht="26.25" x14ac:dyDescent="0.25">
      <c r="A255" s="157"/>
      <c r="B255" s="157" t="s">
        <v>17</v>
      </c>
      <c r="C255" s="159" t="s">
        <v>18</v>
      </c>
      <c r="D255" s="469">
        <v>226.5</v>
      </c>
      <c r="E255" s="469">
        <v>-159.80000000000001</v>
      </c>
      <c r="F255" s="469">
        <f>SUM(D255:E255)</f>
        <v>66.699999999999989</v>
      </c>
      <c r="G255" s="160">
        <v>0</v>
      </c>
      <c r="H255" s="160"/>
      <c r="I255" s="160">
        <v>0</v>
      </c>
      <c r="J255" s="160">
        <v>0</v>
      </c>
      <c r="K255" s="160"/>
      <c r="L255" s="160">
        <v>0</v>
      </c>
    </row>
    <row r="256" spans="1:12" ht="39" x14ac:dyDescent="0.25">
      <c r="A256" s="157" t="s">
        <v>805</v>
      </c>
      <c r="B256" s="157"/>
      <c r="C256" s="159" t="s">
        <v>1065</v>
      </c>
      <c r="D256" s="469">
        <f>D257</f>
        <v>715.5</v>
      </c>
      <c r="E256" s="469">
        <f>E257</f>
        <v>0</v>
      </c>
      <c r="F256" s="469">
        <f>F257</f>
        <v>715.5</v>
      </c>
      <c r="G256" s="160">
        <f>G257</f>
        <v>0</v>
      </c>
      <c r="H256" s="160"/>
      <c r="I256" s="160">
        <f>I257</f>
        <v>0</v>
      </c>
      <c r="J256" s="160">
        <f>J257</f>
        <v>0</v>
      </c>
      <c r="K256" s="160"/>
      <c r="L256" s="160">
        <f>L257</f>
        <v>0</v>
      </c>
    </row>
    <row r="257" spans="1:12" ht="26.25" x14ac:dyDescent="0.25">
      <c r="A257" s="157"/>
      <c r="B257" s="157" t="s">
        <v>17</v>
      </c>
      <c r="C257" s="159" t="s">
        <v>18</v>
      </c>
      <c r="D257" s="469">
        <v>715.5</v>
      </c>
      <c r="E257" s="469"/>
      <c r="F257" s="469">
        <f>SUM(D257:E257)</f>
        <v>715.5</v>
      </c>
      <c r="G257" s="160">
        <v>0</v>
      </c>
      <c r="H257" s="160"/>
      <c r="I257" s="160">
        <v>0</v>
      </c>
      <c r="J257" s="160">
        <v>0</v>
      </c>
      <c r="K257" s="160"/>
      <c r="L257" s="160">
        <v>0</v>
      </c>
    </row>
    <row r="258" spans="1:12" ht="39" x14ac:dyDescent="0.25">
      <c r="A258" s="32" t="s">
        <v>1064</v>
      </c>
      <c r="B258" s="32"/>
      <c r="C258" s="26" t="s">
        <v>1065</v>
      </c>
      <c r="D258" s="469">
        <f>D259</f>
        <v>220.39999999999998</v>
      </c>
      <c r="E258" s="469">
        <f>E259</f>
        <v>3.4000000000000002E-2</v>
      </c>
      <c r="F258" s="469">
        <f>F259</f>
        <v>220.434</v>
      </c>
      <c r="G258" s="160">
        <v>12.2</v>
      </c>
      <c r="H258" s="160"/>
      <c r="I258" s="160">
        <v>12.2</v>
      </c>
      <c r="J258" s="160"/>
      <c r="K258" s="160"/>
      <c r="L258" s="160">
        <v>0</v>
      </c>
    </row>
    <row r="259" spans="1:12" ht="26.25" x14ac:dyDescent="0.25">
      <c r="A259" s="32"/>
      <c r="B259" s="32" t="s">
        <v>17</v>
      </c>
      <c r="C259" s="26" t="s">
        <v>18</v>
      </c>
      <c r="D259" s="469">
        <f>D261+D260</f>
        <v>220.39999999999998</v>
      </c>
      <c r="E259" s="469">
        <f>E261+E260</f>
        <v>3.4000000000000002E-2</v>
      </c>
      <c r="F259" s="469">
        <f>F261+F260</f>
        <v>220.434</v>
      </c>
      <c r="G259" s="160">
        <v>12.2</v>
      </c>
      <c r="H259" s="160"/>
      <c r="I259" s="160">
        <v>12.2</v>
      </c>
      <c r="J259" s="160"/>
      <c r="K259" s="160"/>
      <c r="L259" s="160">
        <v>0</v>
      </c>
    </row>
    <row r="260" spans="1:12" x14ac:dyDescent="0.25">
      <c r="A260" s="32"/>
      <c r="B260" s="32"/>
      <c r="C260" s="13" t="s">
        <v>191</v>
      </c>
      <c r="D260" s="470">
        <v>218.2</v>
      </c>
      <c r="E260" s="470">
        <v>0.03</v>
      </c>
      <c r="F260" s="470">
        <f>SUM(D260:E260)</f>
        <v>218.23</v>
      </c>
      <c r="G260" s="160"/>
      <c r="H260" s="160"/>
      <c r="I260" s="160">
        <v>0</v>
      </c>
      <c r="J260" s="160"/>
      <c r="K260" s="160"/>
      <c r="L260" s="160">
        <v>0</v>
      </c>
    </row>
    <row r="261" spans="1:12" x14ac:dyDescent="0.25">
      <c r="A261" s="32"/>
      <c r="B261" s="32"/>
      <c r="C261" s="13" t="s">
        <v>192</v>
      </c>
      <c r="D261" s="470">
        <v>2.2000000000000002</v>
      </c>
      <c r="E261" s="470">
        <v>4.0000000000000001E-3</v>
      </c>
      <c r="F261" s="470">
        <f>SUM(D261:E261)</f>
        <v>2.2040000000000002</v>
      </c>
      <c r="G261" s="160">
        <v>12.2</v>
      </c>
      <c r="H261" s="160"/>
      <c r="I261" s="160">
        <v>12.2</v>
      </c>
      <c r="J261" s="160"/>
      <c r="K261" s="160"/>
      <c r="L261" s="160">
        <v>0</v>
      </c>
    </row>
    <row r="262" spans="1:12" ht="39" x14ac:dyDescent="0.25">
      <c r="A262" s="148" t="s">
        <v>194</v>
      </c>
      <c r="B262" s="148"/>
      <c r="C262" s="166" t="s">
        <v>195</v>
      </c>
      <c r="D262" s="448">
        <f t="shared" ref="D262:J262" si="47">D263+D326+D334</f>
        <v>89021.599999999991</v>
      </c>
      <c r="E262" s="448">
        <f t="shared" si="47"/>
        <v>-43.777999999999999</v>
      </c>
      <c r="F262" s="448">
        <f t="shared" si="47"/>
        <v>88977.821999999986</v>
      </c>
      <c r="G262" s="150">
        <f t="shared" si="47"/>
        <v>71785.8</v>
      </c>
      <c r="H262" s="150">
        <f t="shared" si="47"/>
        <v>357.2</v>
      </c>
      <c r="I262" s="150">
        <f t="shared" si="47"/>
        <v>72143</v>
      </c>
      <c r="J262" s="150">
        <f t="shared" si="47"/>
        <v>72370.8</v>
      </c>
      <c r="K262" s="150"/>
      <c r="L262" s="150">
        <f>L263+L326+L334</f>
        <v>72370.8</v>
      </c>
    </row>
    <row r="263" spans="1:12" ht="26.25" x14ac:dyDescent="0.25">
      <c r="A263" s="151" t="s">
        <v>196</v>
      </c>
      <c r="B263" s="151"/>
      <c r="C263" s="152" t="s">
        <v>197</v>
      </c>
      <c r="D263" s="467">
        <f>D264+D267+D274+D277+D280+D285+D290+D322+D315</f>
        <v>87517.799999999988</v>
      </c>
      <c r="E263" s="467">
        <f>E264+E267+E274+E277+E280+E285+E290+E322+E315</f>
        <v>-43.677999999999997</v>
      </c>
      <c r="F263" s="467">
        <f>F264+F267+F274+F277+F280+F285+F290+F322+F315</f>
        <v>87474.121999999988</v>
      </c>
      <c r="G263" s="153">
        <f>G264+G267+G274+G277+G280+G285+G290</f>
        <v>70424</v>
      </c>
      <c r="H263" s="153">
        <f>H264+H267+H274+H277+H280+H285+H290</f>
        <v>357.2</v>
      </c>
      <c r="I263" s="153">
        <f>I264+I267+I274+I277+I280+I285+I290</f>
        <v>70781.2</v>
      </c>
      <c r="J263" s="153">
        <f>J264+J267+J274+J277+J280+J285+J290</f>
        <v>71009</v>
      </c>
      <c r="K263" s="153"/>
      <c r="L263" s="153">
        <f>L264+L267+L274+L277+L280+L285+L290</f>
        <v>71009</v>
      </c>
    </row>
    <row r="264" spans="1:12" ht="39" x14ac:dyDescent="0.25">
      <c r="A264" s="154" t="s">
        <v>198</v>
      </c>
      <c r="B264" s="154"/>
      <c r="C264" s="155" t="s">
        <v>199</v>
      </c>
      <c r="D264" s="468">
        <f t="shared" ref="D264:L265" si="48">D265</f>
        <v>37719.4</v>
      </c>
      <c r="E264" s="468">
        <f t="shared" si="48"/>
        <v>0</v>
      </c>
      <c r="F264" s="468">
        <f t="shared" si="48"/>
        <v>37719.4</v>
      </c>
      <c r="G264" s="156">
        <f t="shared" si="48"/>
        <v>35911.699999999997</v>
      </c>
      <c r="H264" s="156"/>
      <c r="I264" s="156">
        <f t="shared" si="48"/>
        <v>35911.699999999997</v>
      </c>
      <c r="J264" s="156">
        <f t="shared" si="48"/>
        <v>35911.699999999997</v>
      </c>
      <c r="K264" s="156"/>
      <c r="L264" s="156">
        <f t="shared" si="48"/>
        <v>35911.699999999997</v>
      </c>
    </row>
    <row r="265" spans="1:12" ht="26.25" x14ac:dyDescent="0.25">
      <c r="A265" s="449" t="s">
        <v>200</v>
      </c>
      <c r="B265" s="157"/>
      <c r="C265" s="162" t="s">
        <v>201</v>
      </c>
      <c r="D265" s="470">
        <f t="shared" si="48"/>
        <v>37719.4</v>
      </c>
      <c r="E265" s="470">
        <f t="shared" si="48"/>
        <v>0</v>
      </c>
      <c r="F265" s="470">
        <f t="shared" si="48"/>
        <v>37719.4</v>
      </c>
      <c r="G265" s="160">
        <f t="shared" si="48"/>
        <v>35911.699999999997</v>
      </c>
      <c r="H265" s="160"/>
      <c r="I265" s="160">
        <f t="shared" si="48"/>
        <v>35911.699999999997</v>
      </c>
      <c r="J265" s="160">
        <f t="shared" si="48"/>
        <v>35911.699999999997</v>
      </c>
      <c r="K265" s="160"/>
      <c r="L265" s="160">
        <f t="shared" si="48"/>
        <v>35911.699999999997</v>
      </c>
    </row>
    <row r="266" spans="1:12" ht="26.25" x14ac:dyDescent="0.25">
      <c r="A266" s="157"/>
      <c r="B266" s="157" t="s">
        <v>64</v>
      </c>
      <c r="C266" s="159" t="s">
        <v>65</v>
      </c>
      <c r="D266" s="470">
        <v>37719.4</v>
      </c>
      <c r="E266" s="470"/>
      <c r="F266" s="470">
        <f>SUM(D266:E266)</f>
        <v>37719.4</v>
      </c>
      <c r="G266" s="160">
        <v>35911.699999999997</v>
      </c>
      <c r="H266" s="160"/>
      <c r="I266" s="160">
        <v>35911.699999999997</v>
      </c>
      <c r="J266" s="160">
        <v>35911.699999999997</v>
      </c>
      <c r="K266" s="160"/>
      <c r="L266" s="160">
        <v>35911.699999999997</v>
      </c>
    </row>
    <row r="267" spans="1:12" ht="30" customHeight="1" x14ac:dyDescent="0.25">
      <c r="A267" s="154" t="s">
        <v>202</v>
      </c>
      <c r="B267" s="154"/>
      <c r="C267" s="155" t="s">
        <v>409</v>
      </c>
      <c r="D267" s="468">
        <f>D268+D270+D272</f>
        <v>17062.7</v>
      </c>
      <c r="E267" s="468">
        <f>E268+E270+E272</f>
        <v>0</v>
      </c>
      <c r="F267" s="468">
        <f>F268+F270+F272</f>
        <v>17062.7</v>
      </c>
      <c r="G267" s="156">
        <f>G268+G270</f>
        <v>16015.1</v>
      </c>
      <c r="H267" s="156"/>
      <c r="I267" s="156">
        <f>I268+I270</f>
        <v>16015.1</v>
      </c>
      <c r="J267" s="156">
        <f>J268+J270</f>
        <v>16515.099999999999</v>
      </c>
      <c r="K267" s="156"/>
      <c r="L267" s="156">
        <f>L268+L270</f>
        <v>16515.099999999999</v>
      </c>
    </row>
    <row r="268" spans="1:12" ht="26.25" x14ac:dyDescent="0.25">
      <c r="A268" s="157" t="s">
        <v>203</v>
      </c>
      <c r="B268" s="157"/>
      <c r="C268" s="162" t="s">
        <v>201</v>
      </c>
      <c r="D268" s="469">
        <f>D269</f>
        <v>16298.7</v>
      </c>
      <c r="E268" s="469">
        <f>E269</f>
        <v>0</v>
      </c>
      <c r="F268" s="469">
        <f>F269</f>
        <v>16298.7</v>
      </c>
      <c r="G268" s="160">
        <f>G269</f>
        <v>16015.1</v>
      </c>
      <c r="H268" s="160"/>
      <c r="I268" s="160">
        <f>I269</f>
        <v>16015.1</v>
      </c>
      <c r="J268" s="160">
        <f>J269</f>
        <v>16015.1</v>
      </c>
      <c r="K268" s="160"/>
      <c r="L268" s="160">
        <f>L269</f>
        <v>16015.1</v>
      </c>
    </row>
    <row r="269" spans="1:12" ht="26.25" x14ac:dyDescent="0.25">
      <c r="A269" s="157"/>
      <c r="B269" s="157" t="s">
        <v>64</v>
      </c>
      <c r="C269" s="159" t="s">
        <v>65</v>
      </c>
      <c r="D269" s="469">
        <v>16298.7</v>
      </c>
      <c r="E269" s="470"/>
      <c r="F269" s="469">
        <f>SUM(D269:E269)</f>
        <v>16298.7</v>
      </c>
      <c r="G269" s="160">
        <v>16015.1</v>
      </c>
      <c r="H269" s="160"/>
      <c r="I269" s="160">
        <v>16015.1</v>
      </c>
      <c r="J269" s="160">
        <v>16015.1</v>
      </c>
      <c r="K269" s="160"/>
      <c r="L269" s="160">
        <v>16015.1</v>
      </c>
    </row>
    <row r="270" spans="1:12" ht="26.25" x14ac:dyDescent="0.25">
      <c r="A270" s="157" t="s">
        <v>204</v>
      </c>
      <c r="B270" s="157"/>
      <c r="C270" s="162" t="s">
        <v>205</v>
      </c>
      <c r="D270" s="469">
        <f>D271</f>
        <v>500</v>
      </c>
      <c r="E270" s="469"/>
      <c r="F270" s="469">
        <f>F271</f>
        <v>500</v>
      </c>
      <c r="G270" s="160">
        <f>G271</f>
        <v>0</v>
      </c>
      <c r="H270" s="160"/>
      <c r="I270" s="160">
        <f>I271</f>
        <v>0</v>
      </c>
      <c r="J270" s="160">
        <f>J271</f>
        <v>500</v>
      </c>
      <c r="K270" s="160"/>
      <c r="L270" s="160">
        <f>L271</f>
        <v>500</v>
      </c>
    </row>
    <row r="271" spans="1:12" ht="26.25" x14ac:dyDescent="0.25">
      <c r="A271" s="157"/>
      <c r="B271" s="157" t="s">
        <v>64</v>
      </c>
      <c r="C271" s="159" t="s">
        <v>65</v>
      </c>
      <c r="D271" s="469">
        <v>500</v>
      </c>
      <c r="E271" s="469"/>
      <c r="F271" s="469">
        <v>500</v>
      </c>
      <c r="G271" s="160">
        <v>0</v>
      </c>
      <c r="H271" s="160"/>
      <c r="I271" s="160">
        <v>0</v>
      </c>
      <c r="J271" s="160">
        <v>500</v>
      </c>
      <c r="K271" s="160"/>
      <c r="L271" s="160">
        <v>500</v>
      </c>
    </row>
    <row r="272" spans="1:12" ht="26.25" x14ac:dyDescent="0.25">
      <c r="A272" s="157" t="s">
        <v>1101</v>
      </c>
      <c r="B272" s="157"/>
      <c r="C272" s="159" t="s">
        <v>1100</v>
      </c>
      <c r="D272" s="469">
        <v>264</v>
      </c>
      <c r="E272" s="469">
        <f>E273</f>
        <v>0</v>
      </c>
      <c r="F272" s="469">
        <f>F273</f>
        <v>264</v>
      </c>
      <c r="G272" s="160"/>
      <c r="H272" s="160"/>
      <c r="I272" s="160">
        <v>0</v>
      </c>
      <c r="J272" s="160"/>
      <c r="K272" s="160"/>
      <c r="L272" s="160">
        <v>0</v>
      </c>
    </row>
    <row r="273" spans="1:12" ht="26.25" x14ac:dyDescent="0.25">
      <c r="A273" s="157"/>
      <c r="B273" s="157" t="s">
        <v>64</v>
      </c>
      <c r="C273" s="159" t="s">
        <v>65</v>
      </c>
      <c r="D273" s="469">
        <v>264</v>
      </c>
      <c r="E273" s="469"/>
      <c r="F273" s="469">
        <v>264</v>
      </c>
      <c r="G273" s="160"/>
      <c r="H273" s="160"/>
      <c r="I273" s="160">
        <v>0</v>
      </c>
      <c r="J273" s="160"/>
      <c r="K273" s="160"/>
      <c r="L273" s="160">
        <v>0</v>
      </c>
    </row>
    <row r="274" spans="1:12" ht="26.25" x14ac:dyDescent="0.25">
      <c r="A274" s="154" t="s">
        <v>206</v>
      </c>
      <c r="B274" s="154"/>
      <c r="C274" s="155" t="s">
        <v>410</v>
      </c>
      <c r="D274" s="468">
        <f t="shared" ref="D274:L275" si="49">D275</f>
        <v>1259.2</v>
      </c>
      <c r="E274" s="468">
        <f t="shared" si="49"/>
        <v>0</v>
      </c>
      <c r="F274" s="468">
        <f t="shared" si="49"/>
        <v>1259.2</v>
      </c>
      <c r="G274" s="156">
        <f t="shared" si="49"/>
        <v>1235.0999999999999</v>
      </c>
      <c r="H274" s="156"/>
      <c r="I274" s="156">
        <f t="shared" si="49"/>
        <v>1235.0999999999999</v>
      </c>
      <c r="J274" s="156">
        <f t="shared" si="49"/>
        <v>1235.0999999999999</v>
      </c>
      <c r="K274" s="156"/>
      <c r="L274" s="156">
        <f t="shared" si="49"/>
        <v>1235.0999999999999</v>
      </c>
    </row>
    <row r="275" spans="1:12" ht="26.25" x14ac:dyDescent="0.25">
      <c r="A275" s="157" t="s">
        <v>207</v>
      </c>
      <c r="B275" s="157"/>
      <c r="C275" s="162" t="s">
        <v>201</v>
      </c>
      <c r="D275" s="469">
        <f t="shared" si="49"/>
        <v>1259.2</v>
      </c>
      <c r="E275" s="469">
        <f t="shared" si="49"/>
        <v>0</v>
      </c>
      <c r="F275" s="469">
        <f t="shared" si="49"/>
        <v>1259.2</v>
      </c>
      <c r="G275" s="160">
        <f t="shared" si="49"/>
        <v>1235.0999999999999</v>
      </c>
      <c r="H275" s="160"/>
      <c r="I275" s="160">
        <f t="shared" si="49"/>
        <v>1235.0999999999999</v>
      </c>
      <c r="J275" s="160">
        <f t="shared" si="49"/>
        <v>1235.0999999999999</v>
      </c>
      <c r="K275" s="160"/>
      <c r="L275" s="160">
        <f t="shared" si="49"/>
        <v>1235.0999999999999</v>
      </c>
    </row>
    <row r="276" spans="1:12" ht="26.25" x14ac:dyDescent="0.25">
      <c r="A276" s="157"/>
      <c r="B276" s="157" t="s">
        <v>64</v>
      </c>
      <c r="C276" s="159" t="s">
        <v>65</v>
      </c>
      <c r="D276" s="469">
        <v>1259.2</v>
      </c>
      <c r="E276" s="470"/>
      <c r="F276" s="469">
        <f>SUM(D276:E276)</f>
        <v>1259.2</v>
      </c>
      <c r="G276" s="160">
        <v>1235.0999999999999</v>
      </c>
      <c r="H276" s="160"/>
      <c r="I276" s="160">
        <v>1235.0999999999999</v>
      </c>
      <c r="J276" s="160">
        <v>1235.0999999999999</v>
      </c>
      <c r="K276" s="160"/>
      <c r="L276" s="160">
        <v>1235.0999999999999</v>
      </c>
    </row>
    <row r="277" spans="1:12" ht="26.25" x14ac:dyDescent="0.25">
      <c r="A277" s="154" t="s">
        <v>208</v>
      </c>
      <c r="B277" s="154"/>
      <c r="C277" s="155" t="s">
        <v>209</v>
      </c>
      <c r="D277" s="468">
        <f t="shared" ref="D277:L278" si="50">D278</f>
        <v>17229.599999999999</v>
      </c>
      <c r="E277" s="468">
        <f t="shared" si="50"/>
        <v>0</v>
      </c>
      <c r="F277" s="468">
        <f t="shared" si="50"/>
        <v>17229.599999999999</v>
      </c>
      <c r="G277" s="156">
        <f t="shared" si="50"/>
        <v>16862.099999999999</v>
      </c>
      <c r="H277" s="156"/>
      <c r="I277" s="156">
        <f t="shared" si="50"/>
        <v>16862.099999999999</v>
      </c>
      <c r="J277" s="156">
        <f t="shared" si="50"/>
        <v>16862.099999999999</v>
      </c>
      <c r="K277" s="156"/>
      <c r="L277" s="156">
        <f t="shared" si="50"/>
        <v>16862.099999999999</v>
      </c>
    </row>
    <row r="278" spans="1:12" ht="26.25" x14ac:dyDescent="0.25">
      <c r="A278" s="157" t="s">
        <v>210</v>
      </c>
      <c r="B278" s="157"/>
      <c r="C278" s="162" t="s">
        <v>201</v>
      </c>
      <c r="D278" s="469">
        <f t="shared" si="50"/>
        <v>17229.599999999999</v>
      </c>
      <c r="E278" s="469">
        <f t="shared" si="50"/>
        <v>0</v>
      </c>
      <c r="F278" s="469">
        <f t="shared" si="50"/>
        <v>17229.599999999999</v>
      </c>
      <c r="G278" s="160">
        <f t="shared" si="50"/>
        <v>16862.099999999999</v>
      </c>
      <c r="H278" s="160"/>
      <c r="I278" s="160">
        <f t="shared" si="50"/>
        <v>16862.099999999999</v>
      </c>
      <c r="J278" s="160">
        <f t="shared" si="50"/>
        <v>16862.099999999999</v>
      </c>
      <c r="K278" s="160"/>
      <c r="L278" s="160">
        <f t="shared" si="50"/>
        <v>16862.099999999999</v>
      </c>
    </row>
    <row r="279" spans="1:12" ht="26.25" x14ac:dyDescent="0.25">
      <c r="A279" s="157"/>
      <c r="B279" s="157" t="s">
        <v>64</v>
      </c>
      <c r="C279" s="159" t="s">
        <v>65</v>
      </c>
      <c r="D279" s="469">
        <v>17229.599999999999</v>
      </c>
      <c r="E279" s="470"/>
      <c r="F279" s="469">
        <f>SUM(D279:E279)</f>
        <v>17229.599999999999</v>
      </c>
      <c r="G279" s="160">
        <v>16862.099999999999</v>
      </c>
      <c r="H279" s="160"/>
      <c r="I279" s="160">
        <v>16862.099999999999</v>
      </c>
      <c r="J279" s="160">
        <v>16862.099999999999</v>
      </c>
      <c r="K279" s="160"/>
      <c r="L279" s="160">
        <v>16862.099999999999</v>
      </c>
    </row>
    <row r="280" spans="1:12" ht="26.25" x14ac:dyDescent="0.25">
      <c r="A280" s="154" t="s">
        <v>211</v>
      </c>
      <c r="B280" s="164"/>
      <c r="C280" s="155" t="s">
        <v>212</v>
      </c>
      <c r="D280" s="468">
        <f>D281+D283</f>
        <v>846</v>
      </c>
      <c r="E280" s="468">
        <f>E281+E283</f>
        <v>0</v>
      </c>
      <c r="F280" s="468">
        <f>F281+F283</f>
        <v>846</v>
      </c>
      <c r="G280" s="156">
        <f>G281+G283</f>
        <v>320</v>
      </c>
      <c r="H280" s="156"/>
      <c r="I280" s="156">
        <f>I281+I283</f>
        <v>320</v>
      </c>
      <c r="J280" s="156">
        <f>J281+J283</f>
        <v>320</v>
      </c>
      <c r="K280" s="156"/>
      <c r="L280" s="156">
        <f>L281+L283</f>
        <v>320</v>
      </c>
    </row>
    <row r="281" spans="1:12" ht="64.5" x14ac:dyDescent="0.25">
      <c r="A281" s="157" t="s">
        <v>213</v>
      </c>
      <c r="B281" s="157"/>
      <c r="C281" s="159" t="s">
        <v>214</v>
      </c>
      <c r="D281" s="469">
        <f>D282</f>
        <v>601</v>
      </c>
      <c r="E281" s="469"/>
      <c r="F281" s="469">
        <f>F282</f>
        <v>601</v>
      </c>
      <c r="G281" s="160">
        <f>G282</f>
        <v>120</v>
      </c>
      <c r="H281" s="160"/>
      <c r="I281" s="160">
        <f>I282</f>
        <v>120</v>
      </c>
      <c r="J281" s="160">
        <f>J282</f>
        <v>120</v>
      </c>
      <c r="K281" s="160"/>
      <c r="L281" s="160">
        <f>L282</f>
        <v>120</v>
      </c>
    </row>
    <row r="282" spans="1:12" ht="26.25" x14ac:dyDescent="0.25">
      <c r="A282" s="157"/>
      <c r="B282" s="157" t="s">
        <v>64</v>
      </c>
      <c r="C282" s="159" t="s">
        <v>65</v>
      </c>
      <c r="D282" s="469">
        <v>601</v>
      </c>
      <c r="E282" s="469"/>
      <c r="F282" s="469">
        <f>SUM(D282:E282)</f>
        <v>601</v>
      </c>
      <c r="G282" s="160">
        <v>120</v>
      </c>
      <c r="H282" s="160"/>
      <c r="I282" s="160">
        <v>120</v>
      </c>
      <c r="J282" s="160">
        <v>120</v>
      </c>
      <c r="K282" s="160"/>
      <c r="L282" s="160">
        <v>120</v>
      </c>
    </row>
    <row r="283" spans="1:12" ht="51.75" x14ac:dyDescent="0.25">
      <c r="A283" s="157" t="s">
        <v>215</v>
      </c>
      <c r="B283" s="157"/>
      <c r="C283" s="159" t="s">
        <v>216</v>
      </c>
      <c r="D283" s="469">
        <f>D284</f>
        <v>245</v>
      </c>
      <c r="E283" s="469"/>
      <c r="F283" s="469">
        <f>F284</f>
        <v>245</v>
      </c>
      <c r="G283" s="160">
        <f>G284</f>
        <v>200</v>
      </c>
      <c r="H283" s="160"/>
      <c r="I283" s="160">
        <f>I284</f>
        <v>200</v>
      </c>
      <c r="J283" s="160">
        <f>J284</f>
        <v>200</v>
      </c>
      <c r="K283" s="160"/>
      <c r="L283" s="160">
        <f>L284</f>
        <v>200</v>
      </c>
    </row>
    <row r="284" spans="1:12" ht="26.25" x14ac:dyDescent="0.25">
      <c r="A284" s="157"/>
      <c r="B284" s="157" t="s">
        <v>64</v>
      </c>
      <c r="C284" s="159" t="s">
        <v>65</v>
      </c>
      <c r="D284" s="469">
        <v>245</v>
      </c>
      <c r="E284" s="469"/>
      <c r="F284" s="469">
        <v>245</v>
      </c>
      <c r="G284" s="160">
        <v>200</v>
      </c>
      <c r="H284" s="160"/>
      <c r="I284" s="160">
        <v>200</v>
      </c>
      <c r="J284" s="160">
        <v>200</v>
      </c>
      <c r="K284" s="160"/>
      <c r="L284" s="160">
        <v>200</v>
      </c>
    </row>
    <row r="285" spans="1:12" x14ac:dyDescent="0.25">
      <c r="A285" s="154" t="s">
        <v>217</v>
      </c>
      <c r="B285" s="164"/>
      <c r="C285" s="155" t="s">
        <v>218</v>
      </c>
      <c r="D285" s="468">
        <f>D286+D288</f>
        <v>70</v>
      </c>
      <c r="E285" s="468"/>
      <c r="F285" s="468">
        <f>F286+F288</f>
        <v>70</v>
      </c>
      <c r="G285" s="156">
        <f>G286+G288</f>
        <v>80</v>
      </c>
      <c r="H285" s="156"/>
      <c r="I285" s="156">
        <f>I286+I288</f>
        <v>80</v>
      </c>
      <c r="J285" s="156">
        <f>J286+J288</f>
        <v>80</v>
      </c>
      <c r="K285" s="156"/>
      <c r="L285" s="156">
        <f>L286+L288</f>
        <v>80</v>
      </c>
    </row>
    <row r="286" spans="1:12" ht="26.25" x14ac:dyDescent="0.25">
      <c r="A286" s="157" t="s">
        <v>219</v>
      </c>
      <c r="B286" s="157"/>
      <c r="C286" s="159" t="s">
        <v>220</v>
      </c>
      <c r="D286" s="469">
        <f>D287</f>
        <v>30</v>
      </c>
      <c r="E286" s="469"/>
      <c r="F286" s="469">
        <f>F287</f>
        <v>30</v>
      </c>
      <c r="G286" s="160">
        <f>G287</f>
        <v>50</v>
      </c>
      <c r="H286" s="160"/>
      <c r="I286" s="160">
        <f>I287</f>
        <v>50</v>
      </c>
      <c r="J286" s="160">
        <f>J287</f>
        <v>50</v>
      </c>
      <c r="K286" s="160"/>
      <c r="L286" s="160">
        <f>L287</f>
        <v>50</v>
      </c>
    </row>
    <row r="287" spans="1:12" ht="26.25" x14ac:dyDescent="0.25">
      <c r="A287" s="157"/>
      <c r="B287" s="157" t="s">
        <v>64</v>
      </c>
      <c r="C287" s="159" t="s">
        <v>65</v>
      </c>
      <c r="D287" s="469">
        <v>30</v>
      </c>
      <c r="E287" s="469"/>
      <c r="F287" s="469">
        <v>30</v>
      </c>
      <c r="G287" s="160">
        <v>50</v>
      </c>
      <c r="H287" s="160"/>
      <c r="I287" s="160">
        <v>50</v>
      </c>
      <c r="J287" s="160">
        <v>50</v>
      </c>
      <c r="K287" s="160"/>
      <c r="L287" s="160">
        <v>50</v>
      </c>
    </row>
    <row r="288" spans="1:12" ht="26.25" x14ac:dyDescent="0.25">
      <c r="A288" s="157" t="s">
        <v>221</v>
      </c>
      <c r="B288" s="157"/>
      <c r="C288" s="159" t="s">
        <v>222</v>
      </c>
      <c r="D288" s="469">
        <f>D289</f>
        <v>40</v>
      </c>
      <c r="E288" s="469"/>
      <c r="F288" s="469">
        <f>F289</f>
        <v>40</v>
      </c>
      <c r="G288" s="160">
        <f>G289</f>
        <v>30</v>
      </c>
      <c r="H288" s="160"/>
      <c r="I288" s="160">
        <f>I289</f>
        <v>30</v>
      </c>
      <c r="J288" s="160">
        <f>J289</f>
        <v>30</v>
      </c>
      <c r="K288" s="160"/>
      <c r="L288" s="160">
        <f>L289</f>
        <v>30</v>
      </c>
    </row>
    <row r="289" spans="1:12" ht="26.25" x14ac:dyDescent="0.25">
      <c r="A289" s="157"/>
      <c r="B289" s="157" t="s">
        <v>64</v>
      </c>
      <c r="C289" s="159" t="s">
        <v>65</v>
      </c>
      <c r="D289" s="469">
        <v>40</v>
      </c>
      <c r="E289" s="469"/>
      <c r="F289" s="469">
        <v>40</v>
      </c>
      <c r="G289" s="160">
        <v>30</v>
      </c>
      <c r="H289" s="160"/>
      <c r="I289" s="160">
        <v>30</v>
      </c>
      <c r="J289" s="160">
        <v>30</v>
      </c>
      <c r="K289" s="160"/>
      <c r="L289" s="160">
        <v>30</v>
      </c>
    </row>
    <row r="290" spans="1:12" ht="51.75" x14ac:dyDescent="0.25">
      <c r="A290" s="154" t="s">
        <v>223</v>
      </c>
      <c r="B290" s="154"/>
      <c r="C290" s="187" t="s">
        <v>224</v>
      </c>
      <c r="D290" s="468">
        <f>D292++D295+D301+D306+D311+D313</f>
        <v>8017.8999999999987</v>
      </c>
      <c r="E290" s="468">
        <f>E292++E295+E301+E306+E311+E313</f>
        <v>-43.704000000000001</v>
      </c>
      <c r="F290" s="468">
        <f>F292++F295+F301+F306+F311+F313</f>
        <v>7974.1959999999999</v>
      </c>
      <c r="G290" s="156">
        <f t="shared" ref="G290:L290" si="51">G292++G295+G301+G306+G311+G313</f>
        <v>0</v>
      </c>
      <c r="H290" s="156">
        <f t="shared" si="51"/>
        <v>357.2</v>
      </c>
      <c r="I290" s="156">
        <f t="shared" si="51"/>
        <v>357.2</v>
      </c>
      <c r="J290" s="156">
        <f t="shared" si="51"/>
        <v>85</v>
      </c>
      <c r="K290" s="156">
        <f t="shared" si="51"/>
        <v>0</v>
      </c>
      <c r="L290" s="156">
        <f t="shared" si="51"/>
        <v>85</v>
      </c>
    </row>
    <row r="291" spans="1:12" ht="51.75" x14ac:dyDescent="0.25">
      <c r="A291" s="157" t="s">
        <v>225</v>
      </c>
      <c r="B291" s="158"/>
      <c r="C291" s="159" t="s">
        <v>226</v>
      </c>
      <c r="D291" s="469">
        <f t="shared" ref="D291:J291" si="52">D292</f>
        <v>4416.8</v>
      </c>
      <c r="E291" s="469">
        <f t="shared" si="52"/>
        <v>4.3999999999999997E-2</v>
      </c>
      <c r="F291" s="469">
        <f t="shared" si="52"/>
        <v>4416.8440000000001</v>
      </c>
      <c r="G291" s="160">
        <f t="shared" si="52"/>
        <v>0</v>
      </c>
      <c r="H291" s="160">
        <f t="shared" si="52"/>
        <v>357.2</v>
      </c>
      <c r="I291" s="160">
        <f t="shared" si="52"/>
        <v>357.2</v>
      </c>
      <c r="J291" s="160">
        <f t="shared" si="52"/>
        <v>0</v>
      </c>
      <c r="K291" s="160"/>
      <c r="L291" s="160">
        <f>L292</f>
        <v>0</v>
      </c>
    </row>
    <row r="292" spans="1:12" ht="26.25" x14ac:dyDescent="0.25">
      <c r="A292" s="157"/>
      <c r="B292" s="157" t="s">
        <v>64</v>
      </c>
      <c r="C292" s="159" t="s">
        <v>65</v>
      </c>
      <c r="D292" s="469">
        <f>D293+D294</f>
        <v>4416.8</v>
      </c>
      <c r="E292" s="472">
        <f>E293+E294</f>
        <v>4.3999999999999997E-2</v>
      </c>
      <c r="F292" s="469">
        <f>F293+F294</f>
        <v>4416.8440000000001</v>
      </c>
      <c r="G292" s="160">
        <v>0</v>
      </c>
      <c r="H292" s="160">
        <f>H293+H294</f>
        <v>357.2</v>
      </c>
      <c r="I292" s="160">
        <f>I293+I294</f>
        <v>357.2</v>
      </c>
      <c r="J292" s="160">
        <v>0</v>
      </c>
      <c r="K292" s="160"/>
      <c r="L292" s="160">
        <v>0</v>
      </c>
    </row>
    <row r="293" spans="1:12" x14ac:dyDescent="0.25">
      <c r="A293" s="157"/>
      <c r="B293" s="157"/>
      <c r="C293" s="188" t="s">
        <v>102</v>
      </c>
      <c r="D293" s="470">
        <v>3312.6</v>
      </c>
      <c r="E293" s="473">
        <v>3.3000000000000002E-2</v>
      </c>
      <c r="F293" s="470">
        <f>SUM(D293:E293)</f>
        <v>3312.6329999999998</v>
      </c>
      <c r="G293" s="182">
        <v>0</v>
      </c>
      <c r="H293" s="182"/>
      <c r="I293" s="182">
        <v>0</v>
      </c>
      <c r="J293" s="160">
        <v>0</v>
      </c>
      <c r="K293" s="160"/>
      <c r="L293" s="160">
        <v>0</v>
      </c>
    </row>
    <row r="294" spans="1:12" x14ac:dyDescent="0.25">
      <c r="A294" s="157"/>
      <c r="B294" s="157"/>
      <c r="C294" s="159" t="s">
        <v>146</v>
      </c>
      <c r="D294" s="470">
        <v>1104.2</v>
      </c>
      <c r="E294" s="473">
        <v>1.0999999999999999E-2</v>
      </c>
      <c r="F294" s="470">
        <f>SUM(D294:E294)</f>
        <v>1104.211</v>
      </c>
      <c r="G294" s="182">
        <v>0</v>
      </c>
      <c r="H294" s="182">
        <v>357.2</v>
      </c>
      <c r="I294" s="182">
        <f>G294+H294</f>
        <v>357.2</v>
      </c>
      <c r="J294" s="160">
        <v>0</v>
      </c>
      <c r="K294" s="160"/>
      <c r="L294" s="160">
        <v>0</v>
      </c>
    </row>
    <row r="295" spans="1:12" ht="25.5" x14ac:dyDescent="0.25">
      <c r="A295" s="192" t="s">
        <v>465</v>
      </c>
      <c r="B295" s="169"/>
      <c r="C295" s="189" t="s">
        <v>459</v>
      </c>
      <c r="D295" s="479">
        <f>D296</f>
        <v>0</v>
      </c>
      <c r="E295" s="479"/>
      <c r="F295" s="479">
        <f>F296</f>
        <v>0</v>
      </c>
      <c r="G295" s="190">
        <v>0</v>
      </c>
      <c r="H295" s="190"/>
      <c r="I295" s="190">
        <v>0</v>
      </c>
      <c r="J295" s="190">
        <v>85</v>
      </c>
      <c r="K295" s="190"/>
      <c r="L295" s="190">
        <v>85</v>
      </c>
    </row>
    <row r="296" spans="1:12" ht="25.5" x14ac:dyDescent="0.25">
      <c r="A296" s="191"/>
      <c r="B296" s="192" t="s">
        <v>64</v>
      </c>
      <c r="C296" s="188" t="s">
        <v>65</v>
      </c>
      <c r="D296" s="479">
        <f>D297+D298</f>
        <v>0</v>
      </c>
      <c r="E296" s="479"/>
      <c r="F296" s="479">
        <f>F297+F298</f>
        <v>0</v>
      </c>
      <c r="G296" s="190">
        <v>0</v>
      </c>
      <c r="H296" s="190"/>
      <c r="I296" s="190">
        <v>0</v>
      </c>
      <c r="J296" s="190">
        <v>85</v>
      </c>
      <c r="K296" s="190"/>
      <c r="L296" s="190">
        <v>85</v>
      </c>
    </row>
    <row r="297" spans="1:12" x14ac:dyDescent="0.25">
      <c r="A297" s="169"/>
      <c r="B297" s="169"/>
      <c r="C297" s="188" t="s">
        <v>102</v>
      </c>
      <c r="D297" s="479">
        <v>0</v>
      </c>
      <c r="E297" s="479"/>
      <c r="F297" s="479">
        <v>0</v>
      </c>
      <c r="G297" s="190">
        <v>0</v>
      </c>
      <c r="H297" s="190"/>
      <c r="I297" s="190">
        <v>0</v>
      </c>
      <c r="J297" s="190">
        <v>0</v>
      </c>
      <c r="K297" s="190"/>
      <c r="L297" s="190">
        <v>0</v>
      </c>
    </row>
    <row r="298" spans="1:12" x14ac:dyDescent="0.25">
      <c r="A298" s="169"/>
      <c r="B298" s="169"/>
      <c r="C298" s="159" t="s">
        <v>146</v>
      </c>
      <c r="D298" s="479">
        <v>0</v>
      </c>
      <c r="E298" s="479"/>
      <c r="F298" s="479">
        <v>0</v>
      </c>
      <c r="G298" s="190">
        <v>0</v>
      </c>
      <c r="H298" s="190"/>
      <c r="I298" s="190">
        <v>0</v>
      </c>
      <c r="J298" s="190">
        <v>85</v>
      </c>
      <c r="K298" s="190"/>
      <c r="L298" s="190">
        <v>85</v>
      </c>
    </row>
    <row r="299" spans="1:12" ht="39" x14ac:dyDescent="0.25">
      <c r="A299" s="32" t="s">
        <v>1054</v>
      </c>
      <c r="B299" s="169"/>
      <c r="C299" s="26" t="s">
        <v>1003</v>
      </c>
      <c r="D299" s="479">
        <f>D301+D306</f>
        <v>2418.3000000000002</v>
      </c>
      <c r="E299" s="479">
        <f>E301+E306</f>
        <v>5.1999999999999602E-2</v>
      </c>
      <c r="F299" s="479">
        <f>F301+F306</f>
        <v>2418.3519999999999</v>
      </c>
      <c r="G299" s="190"/>
      <c r="H299" s="190"/>
      <c r="I299" s="190">
        <v>0</v>
      </c>
      <c r="J299" s="190"/>
      <c r="K299" s="190"/>
      <c r="L299" s="190">
        <v>0</v>
      </c>
    </row>
    <row r="300" spans="1:12" x14ac:dyDescent="0.25">
      <c r="A300" s="32"/>
      <c r="B300" s="169"/>
      <c r="C300" s="159" t="s">
        <v>1</v>
      </c>
      <c r="D300" s="479"/>
      <c r="E300" s="479"/>
      <c r="F300" s="479"/>
      <c r="G300" s="190"/>
      <c r="H300" s="190"/>
      <c r="I300" s="190"/>
      <c r="J300" s="190"/>
      <c r="K300" s="190"/>
      <c r="L300" s="190"/>
    </row>
    <row r="301" spans="1:12" s="419" customFormat="1" ht="39" x14ac:dyDescent="0.25">
      <c r="A301" s="416"/>
      <c r="B301" s="416"/>
      <c r="C301" s="417" t="s">
        <v>1053</v>
      </c>
      <c r="D301" s="599">
        <f>D302</f>
        <v>1824.1</v>
      </c>
      <c r="E301" s="599">
        <f>E302</f>
        <v>1.2999999999999901E-2</v>
      </c>
      <c r="F301" s="510">
        <f>F302</f>
        <v>1824.1129999999998</v>
      </c>
      <c r="G301" s="418"/>
      <c r="H301" s="418"/>
      <c r="I301" s="418">
        <v>0</v>
      </c>
      <c r="J301" s="418"/>
      <c r="K301" s="418"/>
      <c r="L301" s="418">
        <v>0</v>
      </c>
    </row>
    <row r="302" spans="1:12" ht="26.25" x14ac:dyDescent="0.25">
      <c r="A302" s="32"/>
      <c r="B302" s="32" t="s">
        <v>64</v>
      </c>
      <c r="C302" s="26" t="s">
        <v>65</v>
      </c>
      <c r="D302" s="482">
        <f>SUM(D303:D305)</f>
        <v>1824.1</v>
      </c>
      <c r="E302" s="482">
        <f>E303+E304+E305</f>
        <v>1.2999999999999901E-2</v>
      </c>
      <c r="F302" s="482">
        <f>SUM(F303:F305)</f>
        <v>1824.1129999999998</v>
      </c>
      <c r="G302" s="190"/>
      <c r="H302" s="190"/>
      <c r="I302" s="190">
        <v>0</v>
      </c>
      <c r="J302" s="190"/>
      <c r="K302" s="190"/>
      <c r="L302" s="190">
        <v>0</v>
      </c>
    </row>
    <row r="303" spans="1:12" x14ac:dyDescent="0.25">
      <c r="A303" s="32"/>
      <c r="B303" s="32"/>
      <c r="C303" s="188" t="s">
        <v>173</v>
      </c>
      <c r="D303" s="482">
        <v>1188.0999999999999</v>
      </c>
      <c r="E303" s="482">
        <v>10.272</v>
      </c>
      <c r="F303" s="482">
        <f>SUM(D303:E303)</f>
        <v>1198.3719999999998</v>
      </c>
      <c r="G303" s="190"/>
      <c r="H303" s="190"/>
      <c r="I303" s="190">
        <v>0</v>
      </c>
      <c r="J303" s="190"/>
      <c r="K303" s="190"/>
      <c r="L303" s="190">
        <v>0</v>
      </c>
    </row>
    <row r="304" spans="1:12" x14ac:dyDescent="0.25">
      <c r="A304" s="32"/>
      <c r="B304" s="32"/>
      <c r="C304" s="188" t="s">
        <v>102</v>
      </c>
      <c r="D304" s="482">
        <v>396</v>
      </c>
      <c r="E304" s="482">
        <v>3.4569999999999999</v>
      </c>
      <c r="F304" s="482">
        <f>SUM(D304:E304)</f>
        <v>399.45699999999999</v>
      </c>
      <c r="G304" s="190"/>
      <c r="H304" s="190"/>
      <c r="I304" s="190">
        <v>0</v>
      </c>
      <c r="J304" s="190"/>
      <c r="K304" s="190"/>
      <c r="L304" s="190">
        <v>0</v>
      </c>
    </row>
    <row r="305" spans="1:12" x14ac:dyDescent="0.25">
      <c r="A305" s="32"/>
      <c r="B305" s="32"/>
      <c r="C305" s="159" t="s">
        <v>146</v>
      </c>
      <c r="D305" s="482">
        <v>240</v>
      </c>
      <c r="E305" s="482">
        <v>-13.715999999999999</v>
      </c>
      <c r="F305" s="482">
        <f>SUM(D305:E305)</f>
        <v>226.28399999999999</v>
      </c>
      <c r="G305" s="190"/>
      <c r="H305" s="190"/>
      <c r="I305" s="190">
        <v>0</v>
      </c>
      <c r="J305" s="190"/>
      <c r="K305" s="190"/>
      <c r="L305" s="190">
        <v>0</v>
      </c>
    </row>
    <row r="306" spans="1:12" s="419" customFormat="1" ht="39" x14ac:dyDescent="0.25">
      <c r="A306" s="416"/>
      <c r="B306" s="416"/>
      <c r="C306" s="417" t="s">
        <v>1004</v>
      </c>
      <c r="D306" s="480">
        <f>D307</f>
        <v>594.20000000000005</v>
      </c>
      <c r="E306" s="480">
        <f>E307</f>
        <v>3.8999999999999702E-2</v>
      </c>
      <c r="F306" s="480">
        <f>F307</f>
        <v>594.23900000000003</v>
      </c>
      <c r="G306" s="418"/>
      <c r="H306" s="418"/>
      <c r="I306" s="418">
        <v>0</v>
      </c>
      <c r="J306" s="418"/>
      <c r="K306" s="418"/>
      <c r="L306" s="418">
        <v>0</v>
      </c>
    </row>
    <row r="307" spans="1:12" ht="25.5" x14ac:dyDescent="0.25">
      <c r="A307" s="33"/>
      <c r="B307" s="32" t="s">
        <v>64</v>
      </c>
      <c r="C307" s="28" t="s">
        <v>65</v>
      </c>
      <c r="D307" s="476">
        <f>SUM(D308:D310)</f>
        <v>594.20000000000005</v>
      </c>
      <c r="E307" s="476">
        <f>E308+E309+E310</f>
        <v>3.8999999999999702E-2</v>
      </c>
      <c r="F307" s="476">
        <f>SUM(F308:F310)</f>
        <v>594.23900000000003</v>
      </c>
      <c r="G307" s="190"/>
      <c r="H307" s="190"/>
      <c r="I307" s="190">
        <v>0</v>
      </c>
      <c r="J307" s="190"/>
      <c r="K307" s="190"/>
      <c r="L307" s="190">
        <v>0</v>
      </c>
    </row>
    <row r="308" spans="1:12" x14ac:dyDescent="0.25">
      <c r="A308" s="33"/>
      <c r="B308" s="32"/>
      <c r="C308" s="188" t="s">
        <v>173</v>
      </c>
      <c r="D308" s="482">
        <v>400.7</v>
      </c>
      <c r="E308" s="482">
        <v>-10.308</v>
      </c>
      <c r="F308" s="482">
        <f>SUM(D308:E308)</f>
        <v>390.392</v>
      </c>
      <c r="G308" s="190"/>
      <c r="H308" s="190"/>
      <c r="I308" s="190">
        <v>0</v>
      </c>
      <c r="J308" s="190"/>
      <c r="K308" s="190"/>
      <c r="L308" s="190">
        <v>0</v>
      </c>
    </row>
    <row r="309" spans="1:12" x14ac:dyDescent="0.25">
      <c r="A309" s="33"/>
      <c r="B309" s="32"/>
      <c r="C309" s="188" t="s">
        <v>102</v>
      </c>
      <c r="D309" s="482">
        <v>133.5</v>
      </c>
      <c r="E309" s="482">
        <v>-3.3690000000000002</v>
      </c>
      <c r="F309" s="482">
        <f>SUM(D309:E309)</f>
        <v>130.131</v>
      </c>
      <c r="G309" s="190"/>
      <c r="H309" s="190"/>
      <c r="I309" s="190">
        <v>0</v>
      </c>
      <c r="J309" s="190"/>
      <c r="K309" s="190"/>
      <c r="L309" s="190">
        <v>0</v>
      </c>
    </row>
    <row r="310" spans="1:12" x14ac:dyDescent="0.25">
      <c r="A310" s="33"/>
      <c r="B310" s="32"/>
      <c r="C310" s="159" t="s">
        <v>146</v>
      </c>
      <c r="D310" s="482">
        <v>60</v>
      </c>
      <c r="E310" s="482">
        <v>13.715999999999999</v>
      </c>
      <c r="F310" s="482">
        <f>SUM(D310:E310)</f>
        <v>73.715999999999994</v>
      </c>
      <c r="G310" s="190"/>
      <c r="H310" s="190"/>
      <c r="I310" s="190">
        <v>0</v>
      </c>
      <c r="J310" s="190"/>
      <c r="K310" s="190"/>
      <c r="L310" s="190">
        <v>0</v>
      </c>
    </row>
    <row r="311" spans="1:12" ht="26.25" x14ac:dyDescent="0.25">
      <c r="A311" s="32" t="s">
        <v>1098</v>
      </c>
      <c r="B311" s="33"/>
      <c r="C311" s="427" t="s">
        <v>1099</v>
      </c>
      <c r="D311" s="482">
        <f>D312</f>
        <v>779.4</v>
      </c>
      <c r="E311" s="482">
        <f>E312</f>
        <v>-5</v>
      </c>
      <c r="F311" s="482">
        <f>F312</f>
        <v>774.4</v>
      </c>
      <c r="G311" s="190"/>
      <c r="H311" s="190"/>
      <c r="I311" s="190">
        <v>0</v>
      </c>
      <c r="J311" s="190"/>
      <c r="K311" s="190"/>
      <c r="L311" s="190">
        <v>0</v>
      </c>
    </row>
    <row r="312" spans="1:12" ht="26.25" x14ac:dyDescent="0.25">
      <c r="A312" s="33"/>
      <c r="B312" s="32" t="s">
        <v>64</v>
      </c>
      <c r="C312" s="26" t="s">
        <v>65</v>
      </c>
      <c r="D312" s="482">
        <v>779.4</v>
      </c>
      <c r="E312" s="482">
        <v>-5</v>
      </c>
      <c r="F312" s="482">
        <f>SUM(D312:E312)</f>
        <v>774.4</v>
      </c>
      <c r="G312" s="190"/>
      <c r="H312" s="190"/>
      <c r="I312" s="190">
        <v>0</v>
      </c>
      <c r="J312" s="190"/>
      <c r="K312" s="190"/>
      <c r="L312" s="190">
        <v>0</v>
      </c>
    </row>
    <row r="313" spans="1:12" ht="26.25" x14ac:dyDescent="0.25">
      <c r="A313" s="32" t="s">
        <v>1097</v>
      </c>
      <c r="B313" s="32"/>
      <c r="C313" s="26" t="s">
        <v>1106</v>
      </c>
      <c r="D313" s="482">
        <v>403.4</v>
      </c>
      <c r="E313" s="482">
        <f>E314</f>
        <v>-38.799999999999997</v>
      </c>
      <c r="F313" s="482">
        <f>F314</f>
        <v>364.59999999999997</v>
      </c>
      <c r="G313" s="190"/>
      <c r="H313" s="190"/>
      <c r="I313" s="190">
        <v>0</v>
      </c>
      <c r="J313" s="190"/>
      <c r="K313" s="190"/>
      <c r="L313" s="190">
        <v>0</v>
      </c>
    </row>
    <row r="314" spans="1:12" ht="26.25" x14ac:dyDescent="0.25">
      <c r="A314" s="33"/>
      <c r="B314" s="32" t="s">
        <v>64</v>
      </c>
      <c r="C314" s="26" t="s">
        <v>65</v>
      </c>
      <c r="D314" s="482">
        <v>403.4</v>
      </c>
      <c r="E314" s="482">
        <v>-38.799999999999997</v>
      </c>
      <c r="F314" s="482">
        <f>SUM(D314:E314)</f>
        <v>364.59999999999997</v>
      </c>
      <c r="G314" s="190"/>
      <c r="H314" s="190"/>
      <c r="I314" s="190">
        <v>0</v>
      </c>
      <c r="J314" s="190"/>
      <c r="K314" s="190"/>
      <c r="L314" s="190">
        <v>0</v>
      </c>
    </row>
    <row r="315" spans="1:12" s="415" customFormat="1" ht="25.5" x14ac:dyDescent="0.25">
      <c r="A315" s="412" t="s">
        <v>1050</v>
      </c>
      <c r="B315" s="412"/>
      <c r="C315" s="413" t="s">
        <v>1051</v>
      </c>
      <c r="D315" s="483">
        <f>D317</f>
        <v>5102.5</v>
      </c>
      <c r="E315" s="483">
        <f>E317</f>
        <v>0</v>
      </c>
      <c r="F315" s="483">
        <f>F317</f>
        <v>5102.4999999999991</v>
      </c>
      <c r="G315" s="414"/>
      <c r="H315" s="414"/>
      <c r="I315" s="414">
        <v>0</v>
      </c>
      <c r="J315" s="414"/>
      <c r="K315" s="414"/>
      <c r="L315" s="414">
        <v>0</v>
      </c>
    </row>
    <row r="316" spans="1:12" ht="38.25" x14ac:dyDescent="0.25">
      <c r="A316" s="27" t="s">
        <v>1057</v>
      </c>
      <c r="B316" s="27"/>
      <c r="C316" s="30" t="s">
        <v>1052</v>
      </c>
      <c r="D316" s="476">
        <f>D317</f>
        <v>5102.5</v>
      </c>
      <c r="E316" s="476">
        <f>E317</f>
        <v>0</v>
      </c>
      <c r="F316" s="476">
        <f>F317</f>
        <v>5102.4999999999991</v>
      </c>
      <c r="G316" s="190"/>
      <c r="H316" s="190"/>
      <c r="I316" s="190">
        <v>0</v>
      </c>
      <c r="J316" s="190"/>
      <c r="K316" s="190"/>
      <c r="L316" s="190">
        <v>0</v>
      </c>
    </row>
    <row r="317" spans="1:12" ht="25.5" x14ac:dyDescent="0.25">
      <c r="A317" s="7"/>
      <c r="B317" s="27" t="s">
        <v>64</v>
      </c>
      <c r="C317" s="28" t="s">
        <v>65</v>
      </c>
      <c r="D317" s="482">
        <f>D318+D319+D320+D321</f>
        <v>5102.5</v>
      </c>
      <c r="E317" s="482">
        <f>E318+E319+E320+E321</f>
        <v>0</v>
      </c>
      <c r="F317" s="482">
        <f>F318+F319+F320+F321</f>
        <v>5102.4999999999991</v>
      </c>
      <c r="G317" s="190"/>
      <c r="H317" s="190"/>
      <c r="I317" s="190">
        <v>0</v>
      </c>
      <c r="J317" s="190"/>
      <c r="K317" s="190"/>
      <c r="L317" s="190">
        <v>0</v>
      </c>
    </row>
    <row r="318" spans="1:12" x14ac:dyDescent="0.25">
      <c r="A318" s="7"/>
      <c r="B318" s="27"/>
      <c r="C318" s="188" t="s">
        <v>173</v>
      </c>
      <c r="D318" s="482">
        <v>3549.7</v>
      </c>
      <c r="E318" s="482">
        <v>946.65</v>
      </c>
      <c r="F318" s="482">
        <f>SUM(D318:E318)</f>
        <v>4496.3499999999995</v>
      </c>
      <c r="G318" s="190"/>
      <c r="H318" s="190"/>
      <c r="I318" s="190">
        <v>0</v>
      </c>
      <c r="J318" s="190"/>
      <c r="K318" s="190"/>
      <c r="L318" s="190">
        <v>0</v>
      </c>
    </row>
    <row r="319" spans="1:12" x14ac:dyDescent="0.25">
      <c r="A319" s="7"/>
      <c r="B319" s="27"/>
      <c r="C319" s="188" t="s">
        <v>102</v>
      </c>
      <c r="D319" s="482">
        <v>1183.3</v>
      </c>
      <c r="E319" s="482">
        <v>-946.65</v>
      </c>
      <c r="F319" s="482">
        <f>SUM(D319:E319)</f>
        <v>236.64999999999998</v>
      </c>
      <c r="G319" s="190"/>
      <c r="H319" s="190"/>
      <c r="I319" s="190">
        <v>0</v>
      </c>
      <c r="J319" s="190"/>
      <c r="K319" s="190"/>
      <c r="L319" s="190">
        <v>0</v>
      </c>
    </row>
    <row r="320" spans="1:12" x14ac:dyDescent="0.25">
      <c r="A320" s="7"/>
      <c r="B320" s="27"/>
      <c r="C320" s="159" t="s">
        <v>146</v>
      </c>
      <c r="D320" s="482">
        <v>269.5</v>
      </c>
      <c r="E320" s="482"/>
      <c r="F320" s="482">
        <f>SUM(D320:E320)</f>
        <v>269.5</v>
      </c>
      <c r="G320" s="190"/>
      <c r="H320" s="190"/>
      <c r="I320" s="190">
        <v>0</v>
      </c>
      <c r="J320" s="190"/>
      <c r="K320" s="190"/>
      <c r="L320" s="190">
        <v>0</v>
      </c>
    </row>
    <row r="321" spans="1:12" ht="15.75" customHeight="1" x14ac:dyDescent="0.25">
      <c r="A321" s="7"/>
      <c r="B321" s="27"/>
      <c r="C321" s="159" t="s">
        <v>1058</v>
      </c>
      <c r="D321" s="482">
        <v>100</v>
      </c>
      <c r="E321" s="482"/>
      <c r="F321" s="482">
        <v>100</v>
      </c>
      <c r="G321" s="190"/>
      <c r="H321" s="190"/>
      <c r="I321" s="190">
        <v>0</v>
      </c>
      <c r="J321" s="190"/>
      <c r="K321" s="190"/>
      <c r="L321" s="190">
        <v>0</v>
      </c>
    </row>
    <row r="322" spans="1:12" s="415" customFormat="1" ht="15.75" customHeight="1" x14ac:dyDescent="0.25">
      <c r="A322" s="412" t="s">
        <v>1045</v>
      </c>
      <c r="B322" s="412"/>
      <c r="C322" s="413" t="s">
        <v>1046</v>
      </c>
      <c r="D322" s="483">
        <f>D324</f>
        <v>210.5</v>
      </c>
      <c r="E322" s="483">
        <f>E324</f>
        <v>2.5999999999999999E-2</v>
      </c>
      <c r="F322" s="483">
        <f>F324</f>
        <v>210.52600000000001</v>
      </c>
      <c r="G322" s="414"/>
      <c r="H322" s="414"/>
      <c r="I322" s="414">
        <v>0</v>
      </c>
      <c r="J322" s="414"/>
      <c r="K322" s="414"/>
      <c r="L322" s="414">
        <v>0</v>
      </c>
    </row>
    <row r="323" spans="1:12" ht="15.75" customHeight="1" x14ac:dyDescent="0.25">
      <c r="A323" s="27" t="s">
        <v>1047</v>
      </c>
      <c r="B323" s="27"/>
      <c r="C323" s="30" t="s">
        <v>1048</v>
      </c>
      <c r="D323" s="482">
        <v>210.5</v>
      </c>
      <c r="E323" s="482">
        <f>SUM(E325)</f>
        <v>2.5999999999999999E-2</v>
      </c>
      <c r="F323" s="482">
        <f>F324</f>
        <v>210.52600000000001</v>
      </c>
      <c r="G323" s="190"/>
      <c r="H323" s="190"/>
      <c r="I323" s="190">
        <v>0</v>
      </c>
      <c r="J323" s="190"/>
      <c r="K323" s="190"/>
      <c r="L323" s="190">
        <v>0</v>
      </c>
    </row>
    <row r="324" spans="1:12" ht="15.75" customHeight="1" x14ac:dyDescent="0.25">
      <c r="A324" s="7"/>
      <c r="B324" s="27" t="s">
        <v>64</v>
      </c>
      <c r="C324" s="28" t="s">
        <v>65</v>
      </c>
      <c r="D324" s="482">
        <f>D325</f>
        <v>210.5</v>
      </c>
      <c r="E324" s="482">
        <f>E325</f>
        <v>2.5999999999999999E-2</v>
      </c>
      <c r="F324" s="482">
        <f>F325</f>
        <v>210.52600000000001</v>
      </c>
      <c r="G324" s="190"/>
      <c r="H324" s="190"/>
      <c r="I324" s="190">
        <v>0</v>
      </c>
      <c r="J324" s="190"/>
      <c r="K324" s="190"/>
      <c r="L324" s="190">
        <v>0</v>
      </c>
    </row>
    <row r="325" spans="1:12" ht="25.5" x14ac:dyDescent="0.25">
      <c r="A325" s="7"/>
      <c r="B325" s="27"/>
      <c r="C325" s="28" t="s">
        <v>1049</v>
      </c>
      <c r="D325" s="482">
        <v>210.5</v>
      </c>
      <c r="E325" s="482">
        <v>2.5999999999999999E-2</v>
      </c>
      <c r="F325" s="482">
        <f>SUM(D325:E325)</f>
        <v>210.52600000000001</v>
      </c>
      <c r="G325" s="190"/>
      <c r="H325" s="190"/>
      <c r="I325" s="190">
        <v>0</v>
      </c>
      <c r="J325" s="190"/>
      <c r="K325" s="190"/>
      <c r="L325" s="190">
        <v>0</v>
      </c>
    </row>
    <row r="326" spans="1:12" x14ac:dyDescent="0.25">
      <c r="A326" s="151" t="s">
        <v>227</v>
      </c>
      <c r="B326" s="151"/>
      <c r="C326" s="152" t="s">
        <v>228</v>
      </c>
      <c r="D326" s="467">
        <f>D327</f>
        <v>215</v>
      </c>
      <c r="E326" s="467">
        <f>E327</f>
        <v>0</v>
      </c>
      <c r="F326" s="467">
        <f>F327</f>
        <v>215</v>
      </c>
      <c r="G326" s="153">
        <f>G327</f>
        <v>100</v>
      </c>
      <c r="H326" s="153"/>
      <c r="I326" s="153">
        <f>I327</f>
        <v>100</v>
      </c>
      <c r="J326" s="153">
        <f>J327</f>
        <v>100</v>
      </c>
      <c r="K326" s="153"/>
      <c r="L326" s="153">
        <f>L327</f>
        <v>100</v>
      </c>
    </row>
    <row r="327" spans="1:12" ht="26.25" x14ac:dyDescent="0.25">
      <c r="A327" s="154" t="s">
        <v>229</v>
      </c>
      <c r="B327" s="154"/>
      <c r="C327" s="155" t="s">
        <v>230</v>
      </c>
      <c r="D327" s="468">
        <f>D328+D330</f>
        <v>215</v>
      </c>
      <c r="E327" s="468">
        <f>E328+E330</f>
        <v>0</v>
      </c>
      <c r="F327" s="468">
        <f>F328+F330</f>
        <v>215</v>
      </c>
      <c r="G327" s="156">
        <f t="shared" ref="G327:L327" si="53">G328</f>
        <v>100</v>
      </c>
      <c r="H327" s="156"/>
      <c r="I327" s="156">
        <f t="shared" si="53"/>
        <v>100</v>
      </c>
      <c r="J327" s="156">
        <f t="shared" si="53"/>
        <v>100</v>
      </c>
      <c r="K327" s="156"/>
      <c r="L327" s="156">
        <f t="shared" si="53"/>
        <v>100</v>
      </c>
    </row>
    <row r="328" spans="1:12" ht="90" x14ac:dyDescent="0.25">
      <c r="A328" s="157" t="s">
        <v>231</v>
      </c>
      <c r="B328" s="157"/>
      <c r="C328" s="159" t="s">
        <v>232</v>
      </c>
      <c r="D328" s="469">
        <f>D329</f>
        <v>72</v>
      </c>
      <c r="E328" s="469"/>
      <c r="F328" s="469">
        <f>F329</f>
        <v>72</v>
      </c>
      <c r="G328" s="160">
        <f>G329</f>
        <v>100</v>
      </c>
      <c r="H328" s="160"/>
      <c r="I328" s="160">
        <f>I329</f>
        <v>100</v>
      </c>
      <c r="J328" s="160">
        <f>J329</f>
        <v>100</v>
      </c>
      <c r="K328" s="160"/>
      <c r="L328" s="160">
        <f>L329</f>
        <v>100</v>
      </c>
    </row>
    <row r="329" spans="1:12" ht="26.25" x14ac:dyDescent="0.25">
      <c r="A329" s="157"/>
      <c r="B329" s="157" t="s">
        <v>64</v>
      </c>
      <c r="C329" s="159" t="s">
        <v>65</v>
      </c>
      <c r="D329" s="469">
        <v>72</v>
      </c>
      <c r="E329" s="469"/>
      <c r="F329" s="469">
        <f>SUM(D329:E329)</f>
        <v>72</v>
      </c>
      <c r="G329" s="160">
        <v>100</v>
      </c>
      <c r="H329" s="160"/>
      <c r="I329" s="160">
        <v>100</v>
      </c>
      <c r="J329" s="160">
        <v>100</v>
      </c>
      <c r="K329" s="160"/>
      <c r="L329" s="160">
        <v>100</v>
      </c>
    </row>
    <row r="330" spans="1:12" x14ac:dyDescent="0.25">
      <c r="A330" s="27" t="s">
        <v>1145</v>
      </c>
      <c r="B330" s="27"/>
      <c r="C330" s="28" t="s">
        <v>1146</v>
      </c>
      <c r="D330" s="469">
        <f>D331</f>
        <v>143</v>
      </c>
      <c r="E330" s="469"/>
      <c r="F330" s="469">
        <f>F331</f>
        <v>143</v>
      </c>
      <c r="G330" s="160"/>
      <c r="H330" s="160"/>
      <c r="I330" s="160">
        <v>0</v>
      </c>
      <c r="J330" s="160"/>
      <c r="K330" s="160"/>
      <c r="L330" s="160">
        <v>0</v>
      </c>
    </row>
    <row r="331" spans="1:12" ht="26.25" x14ac:dyDescent="0.25">
      <c r="A331" s="157"/>
      <c r="B331" s="157" t="s">
        <v>64</v>
      </c>
      <c r="C331" s="159" t="s">
        <v>65</v>
      </c>
      <c r="D331" s="469">
        <f>D332+D333</f>
        <v>143</v>
      </c>
      <c r="E331" s="469"/>
      <c r="F331" s="469">
        <f>F332+F333</f>
        <v>143</v>
      </c>
      <c r="G331" s="160"/>
      <c r="H331" s="160"/>
      <c r="I331" s="160">
        <v>0</v>
      </c>
      <c r="J331" s="160"/>
      <c r="K331" s="160"/>
      <c r="L331" s="160">
        <v>0</v>
      </c>
    </row>
    <row r="332" spans="1:12" x14ac:dyDescent="0.25">
      <c r="A332" s="157"/>
      <c r="B332" s="157"/>
      <c r="C332" s="28" t="s">
        <v>102</v>
      </c>
      <c r="D332" s="470">
        <v>100</v>
      </c>
      <c r="E332" s="470"/>
      <c r="F332" s="470">
        <v>100</v>
      </c>
      <c r="G332" s="160"/>
      <c r="H332" s="160"/>
      <c r="I332" s="160">
        <v>0</v>
      </c>
      <c r="J332" s="160"/>
      <c r="K332" s="160"/>
      <c r="L332" s="160">
        <v>0</v>
      </c>
    </row>
    <row r="333" spans="1:12" x14ac:dyDescent="0.25">
      <c r="A333" s="157"/>
      <c r="B333" s="157"/>
      <c r="C333" s="28" t="s">
        <v>146</v>
      </c>
      <c r="D333" s="469">
        <v>43</v>
      </c>
      <c r="E333" s="469"/>
      <c r="F333" s="469">
        <v>43</v>
      </c>
      <c r="G333" s="160"/>
      <c r="H333" s="160"/>
      <c r="I333" s="160">
        <v>0</v>
      </c>
      <c r="J333" s="160"/>
      <c r="K333" s="160"/>
      <c r="L333" s="160">
        <v>0</v>
      </c>
    </row>
    <row r="334" spans="1:12" x14ac:dyDescent="0.25">
      <c r="A334" s="151" t="s">
        <v>233</v>
      </c>
      <c r="B334" s="151"/>
      <c r="C334" s="152" t="s">
        <v>234</v>
      </c>
      <c r="D334" s="467">
        <f t="shared" ref="D334:L336" si="54">D335</f>
        <v>1288.8</v>
      </c>
      <c r="E334" s="467">
        <f t="shared" si="54"/>
        <v>-0.1</v>
      </c>
      <c r="F334" s="467">
        <f t="shared" si="54"/>
        <v>1288.7</v>
      </c>
      <c r="G334" s="153">
        <f t="shared" si="54"/>
        <v>1261.8</v>
      </c>
      <c r="H334" s="153"/>
      <c r="I334" s="153">
        <f t="shared" si="54"/>
        <v>1261.8</v>
      </c>
      <c r="J334" s="153">
        <f t="shared" si="54"/>
        <v>1261.8</v>
      </c>
      <c r="K334" s="153"/>
      <c r="L334" s="153">
        <f t="shared" si="54"/>
        <v>1261.8</v>
      </c>
    </row>
    <row r="335" spans="1:12" ht="51.75" x14ac:dyDescent="0.25">
      <c r="A335" s="154" t="s">
        <v>235</v>
      </c>
      <c r="B335" s="154"/>
      <c r="C335" s="155" t="s">
        <v>438</v>
      </c>
      <c r="D335" s="468">
        <f t="shared" si="54"/>
        <v>1288.8</v>
      </c>
      <c r="E335" s="468">
        <f t="shared" si="54"/>
        <v>-0.1</v>
      </c>
      <c r="F335" s="468">
        <f t="shared" si="54"/>
        <v>1288.7</v>
      </c>
      <c r="G335" s="156">
        <f t="shared" si="54"/>
        <v>1261.8</v>
      </c>
      <c r="H335" s="156"/>
      <c r="I335" s="156">
        <f t="shared" si="54"/>
        <v>1261.8</v>
      </c>
      <c r="J335" s="156">
        <f t="shared" si="54"/>
        <v>1261.8</v>
      </c>
      <c r="K335" s="156"/>
      <c r="L335" s="156">
        <f t="shared" si="54"/>
        <v>1261.8</v>
      </c>
    </row>
    <row r="336" spans="1:12" ht="39" x14ac:dyDescent="0.25">
      <c r="A336" s="157" t="s">
        <v>236</v>
      </c>
      <c r="B336" s="157"/>
      <c r="C336" s="159" t="s">
        <v>237</v>
      </c>
      <c r="D336" s="469">
        <f t="shared" si="54"/>
        <v>1288.8</v>
      </c>
      <c r="E336" s="470">
        <f t="shared" si="54"/>
        <v>-0.1</v>
      </c>
      <c r="F336" s="469">
        <f t="shared" si="54"/>
        <v>1288.7</v>
      </c>
      <c r="G336" s="160">
        <f t="shared" si="54"/>
        <v>1261.8</v>
      </c>
      <c r="H336" s="160"/>
      <c r="I336" s="160">
        <f t="shared" si="54"/>
        <v>1261.8</v>
      </c>
      <c r="J336" s="160">
        <f t="shared" si="54"/>
        <v>1261.8</v>
      </c>
      <c r="K336" s="160"/>
      <c r="L336" s="160">
        <f t="shared" si="54"/>
        <v>1261.8</v>
      </c>
    </row>
    <row r="337" spans="1:12" ht="26.25" x14ac:dyDescent="0.25">
      <c r="A337" s="157"/>
      <c r="B337" s="157" t="s">
        <v>64</v>
      </c>
      <c r="C337" s="159" t="s">
        <v>65</v>
      </c>
      <c r="D337" s="469">
        <v>1288.8</v>
      </c>
      <c r="E337" s="470">
        <v>-0.1</v>
      </c>
      <c r="F337" s="469">
        <f>SUM(D337:E337)</f>
        <v>1288.7</v>
      </c>
      <c r="G337" s="160">
        <v>1261.8</v>
      </c>
      <c r="H337" s="160"/>
      <c r="I337" s="160">
        <v>1261.8</v>
      </c>
      <c r="J337" s="160">
        <v>1261.8</v>
      </c>
      <c r="K337" s="160"/>
      <c r="L337" s="160">
        <v>1261.8</v>
      </c>
    </row>
    <row r="338" spans="1:12" ht="26.25" x14ac:dyDescent="0.25">
      <c r="A338" s="148" t="s">
        <v>238</v>
      </c>
      <c r="B338" s="148"/>
      <c r="C338" s="166" t="s">
        <v>239</v>
      </c>
      <c r="D338" s="448">
        <f t="shared" ref="D338:J338" si="55">D339+D348</f>
        <v>9181</v>
      </c>
      <c r="E338" s="448">
        <f t="shared" si="55"/>
        <v>115.66</v>
      </c>
      <c r="F338" s="448">
        <f t="shared" si="55"/>
        <v>9296.66</v>
      </c>
      <c r="G338" s="150">
        <f t="shared" si="55"/>
        <v>118.2</v>
      </c>
      <c r="H338" s="150">
        <f t="shared" si="55"/>
        <v>875</v>
      </c>
      <c r="I338" s="150">
        <f t="shared" si="55"/>
        <v>993.2</v>
      </c>
      <c r="J338" s="150">
        <f t="shared" si="55"/>
        <v>118.2</v>
      </c>
      <c r="K338" s="150"/>
      <c r="L338" s="150">
        <f>L339+L348</f>
        <v>118.2</v>
      </c>
    </row>
    <row r="339" spans="1:12" ht="39" x14ac:dyDescent="0.25">
      <c r="A339" s="154" t="s">
        <v>240</v>
      </c>
      <c r="B339" s="164"/>
      <c r="C339" s="155" t="s">
        <v>241</v>
      </c>
      <c r="D339" s="468">
        <f>D340+D342+D344</f>
        <v>2399.3000000000002</v>
      </c>
      <c r="E339" s="468">
        <f>E340+E344+E342</f>
        <v>115.59399999999999</v>
      </c>
      <c r="F339" s="468">
        <f>F340+F342+F344</f>
        <v>2514.8940000000002</v>
      </c>
      <c r="G339" s="156">
        <f t="shared" ref="D339:L340" si="56">G340</f>
        <v>0</v>
      </c>
      <c r="H339" s="156">
        <f t="shared" si="56"/>
        <v>0</v>
      </c>
      <c r="I339" s="156">
        <f t="shared" si="56"/>
        <v>0</v>
      </c>
      <c r="J339" s="156">
        <f t="shared" si="56"/>
        <v>0</v>
      </c>
      <c r="K339" s="156"/>
      <c r="L339" s="156">
        <f t="shared" si="56"/>
        <v>0</v>
      </c>
    </row>
    <row r="340" spans="1:12" ht="51.75" x14ac:dyDescent="0.25">
      <c r="A340" s="157" t="s">
        <v>242</v>
      </c>
      <c r="B340" s="157"/>
      <c r="C340" s="159" t="s">
        <v>467</v>
      </c>
      <c r="D340" s="469">
        <f t="shared" si="56"/>
        <v>1533.2</v>
      </c>
      <c r="E340" s="470">
        <f>E341</f>
        <v>115.7</v>
      </c>
      <c r="F340" s="470">
        <f t="shared" si="56"/>
        <v>1648.9</v>
      </c>
      <c r="G340" s="160">
        <f t="shared" si="56"/>
        <v>0</v>
      </c>
      <c r="H340" s="160"/>
      <c r="I340" s="160">
        <f t="shared" si="56"/>
        <v>0</v>
      </c>
      <c r="J340" s="160">
        <f t="shared" si="56"/>
        <v>0</v>
      </c>
      <c r="K340" s="160"/>
      <c r="L340" s="160">
        <f t="shared" si="56"/>
        <v>0</v>
      </c>
    </row>
    <row r="341" spans="1:12" ht="26.25" x14ac:dyDescent="0.25">
      <c r="A341" s="157"/>
      <c r="B341" s="157" t="s">
        <v>64</v>
      </c>
      <c r="C341" s="159" t="s">
        <v>65</v>
      </c>
      <c r="D341" s="470">
        <v>1533.2</v>
      </c>
      <c r="E341" s="470">
        <v>115.7</v>
      </c>
      <c r="F341" s="470">
        <f>D341+E341</f>
        <v>1648.9</v>
      </c>
      <c r="G341" s="160">
        <v>0</v>
      </c>
      <c r="H341" s="160"/>
      <c r="I341" s="160">
        <v>0</v>
      </c>
      <c r="J341" s="160">
        <v>0</v>
      </c>
      <c r="K341" s="160"/>
      <c r="L341" s="160">
        <v>0</v>
      </c>
    </row>
    <row r="342" spans="1:12" ht="26.25" x14ac:dyDescent="0.25">
      <c r="A342" s="32" t="s">
        <v>1006</v>
      </c>
      <c r="B342" s="32"/>
      <c r="C342" s="26" t="s">
        <v>1007</v>
      </c>
      <c r="D342" s="470">
        <f>D343</f>
        <v>360.6</v>
      </c>
      <c r="E342" s="470">
        <f>E343</f>
        <v>-4.5999999999999999E-2</v>
      </c>
      <c r="F342" s="470">
        <f>F343</f>
        <v>360.55400000000003</v>
      </c>
      <c r="G342" s="182">
        <f t="shared" ref="G342:L342" si="57">G343</f>
        <v>0</v>
      </c>
      <c r="H342" s="182"/>
      <c r="I342" s="182">
        <f t="shared" si="57"/>
        <v>0</v>
      </c>
      <c r="J342" s="182">
        <f t="shared" si="57"/>
        <v>0</v>
      </c>
      <c r="K342" s="182"/>
      <c r="L342" s="182">
        <f t="shared" si="57"/>
        <v>0</v>
      </c>
    </row>
    <row r="343" spans="1:12" ht="26.25" x14ac:dyDescent="0.25">
      <c r="A343" s="32"/>
      <c r="B343" s="32" t="s">
        <v>64</v>
      </c>
      <c r="C343" s="26" t="s">
        <v>65</v>
      </c>
      <c r="D343" s="469">
        <v>360.6</v>
      </c>
      <c r="E343" s="470">
        <v>-4.5999999999999999E-2</v>
      </c>
      <c r="F343" s="470">
        <f>SUM(D343:E343)</f>
        <v>360.55400000000003</v>
      </c>
      <c r="G343" s="160">
        <v>0</v>
      </c>
      <c r="H343" s="160"/>
      <c r="I343" s="160">
        <v>0</v>
      </c>
      <c r="J343" s="160">
        <v>0</v>
      </c>
      <c r="K343" s="160"/>
      <c r="L343" s="160">
        <v>0</v>
      </c>
    </row>
    <row r="344" spans="1:12" x14ac:dyDescent="0.25">
      <c r="A344" s="32" t="s">
        <v>1153</v>
      </c>
      <c r="B344" s="32"/>
      <c r="C344" s="26" t="s">
        <v>1154</v>
      </c>
      <c r="D344" s="469">
        <f>D345</f>
        <v>505.5</v>
      </c>
      <c r="E344" s="470">
        <f>E345</f>
        <v>-0.06</v>
      </c>
      <c r="F344" s="470">
        <f>F345</f>
        <v>505.44000000000005</v>
      </c>
      <c r="G344" s="160"/>
      <c r="H344" s="160"/>
      <c r="I344" s="160">
        <v>0</v>
      </c>
      <c r="J344" s="160"/>
      <c r="K344" s="160"/>
      <c r="L344" s="160">
        <v>0</v>
      </c>
    </row>
    <row r="345" spans="1:12" ht="26.25" x14ac:dyDescent="0.25">
      <c r="A345" s="32"/>
      <c r="B345" s="32" t="s">
        <v>64</v>
      </c>
      <c r="C345" s="26" t="s">
        <v>65</v>
      </c>
      <c r="D345" s="470">
        <f>D346+D347</f>
        <v>505.5</v>
      </c>
      <c r="E345" s="470">
        <f>E346+E347</f>
        <v>-0.06</v>
      </c>
      <c r="F345" s="470">
        <f>F346+F347</f>
        <v>505.44000000000005</v>
      </c>
      <c r="G345" s="160"/>
      <c r="H345" s="160"/>
      <c r="I345" s="160">
        <v>0</v>
      </c>
      <c r="J345" s="160"/>
      <c r="K345" s="160"/>
      <c r="L345" s="160">
        <v>0</v>
      </c>
    </row>
    <row r="346" spans="1:12" x14ac:dyDescent="0.25">
      <c r="A346" s="32"/>
      <c r="B346" s="32"/>
      <c r="C346" s="28" t="s">
        <v>102</v>
      </c>
      <c r="D346" s="470">
        <v>379.1</v>
      </c>
      <c r="E346" s="470">
        <v>-0.02</v>
      </c>
      <c r="F346" s="470">
        <f>SUM(D346:E346)</f>
        <v>379.08000000000004</v>
      </c>
      <c r="G346" s="160"/>
      <c r="H346" s="160"/>
      <c r="I346" s="160">
        <v>0</v>
      </c>
      <c r="J346" s="160"/>
      <c r="K346" s="160"/>
      <c r="L346" s="160">
        <v>0</v>
      </c>
    </row>
    <row r="347" spans="1:12" x14ac:dyDescent="0.25">
      <c r="A347" s="32"/>
      <c r="B347" s="32"/>
      <c r="C347" s="28" t="s">
        <v>146</v>
      </c>
      <c r="D347" s="470">
        <v>126.4</v>
      </c>
      <c r="E347" s="470">
        <v>-0.04</v>
      </c>
      <c r="F347" s="470">
        <f>SUM(D347:E347)</f>
        <v>126.36</v>
      </c>
      <c r="G347" s="160"/>
      <c r="H347" s="160"/>
      <c r="I347" s="160">
        <v>0</v>
      </c>
      <c r="J347" s="160"/>
      <c r="K347" s="160"/>
      <c r="L347" s="160">
        <v>0</v>
      </c>
    </row>
    <row r="348" spans="1:12" ht="39" x14ac:dyDescent="0.25">
      <c r="A348" s="154" t="s">
        <v>243</v>
      </c>
      <c r="B348" s="154"/>
      <c r="C348" s="155" t="s">
        <v>244</v>
      </c>
      <c r="D348" s="468">
        <f>D349+D355+D353</f>
        <v>6781.7000000000007</v>
      </c>
      <c r="E348" s="468">
        <f>E353+E355+E349</f>
        <v>6.6000000000000003E-2</v>
      </c>
      <c r="F348" s="468">
        <f>F349+F355+F353</f>
        <v>6781.7659999999996</v>
      </c>
      <c r="G348" s="156">
        <f>G349+G355</f>
        <v>118.2</v>
      </c>
      <c r="H348" s="156">
        <f>H349+H355+H353</f>
        <v>875</v>
      </c>
      <c r="I348" s="156">
        <f>I349+I355+I353</f>
        <v>993.2</v>
      </c>
      <c r="J348" s="156">
        <f>J349+J355</f>
        <v>118.2</v>
      </c>
      <c r="K348" s="156"/>
      <c r="L348" s="156">
        <f>L349+L355</f>
        <v>118.2</v>
      </c>
    </row>
    <row r="349" spans="1:12" ht="39" x14ac:dyDescent="0.25">
      <c r="A349" s="157" t="s">
        <v>245</v>
      </c>
      <c r="B349" s="157"/>
      <c r="C349" s="159" t="s">
        <v>246</v>
      </c>
      <c r="D349" s="469">
        <f t="shared" ref="D349:J349" si="58">D350</f>
        <v>6403.7000000000007</v>
      </c>
      <c r="E349" s="469">
        <f t="shared" si="58"/>
        <v>6.6000000000000003E-2</v>
      </c>
      <c r="F349" s="469">
        <f t="shared" si="58"/>
        <v>6403.7659999999996</v>
      </c>
      <c r="G349" s="160">
        <f t="shared" si="58"/>
        <v>118.2</v>
      </c>
      <c r="H349" s="160">
        <f t="shared" si="58"/>
        <v>875</v>
      </c>
      <c r="I349" s="160">
        <f t="shared" si="58"/>
        <v>993.2</v>
      </c>
      <c r="J349" s="160">
        <f t="shared" si="58"/>
        <v>118.2</v>
      </c>
      <c r="K349" s="160"/>
      <c r="L349" s="160">
        <f>L350</f>
        <v>118.2</v>
      </c>
    </row>
    <row r="350" spans="1:12" ht="26.25" x14ac:dyDescent="0.25">
      <c r="A350" s="157"/>
      <c r="B350" s="157" t="s">
        <v>64</v>
      </c>
      <c r="C350" s="159" t="s">
        <v>65</v>
      </c>
      <c r="D350" s="470">
        <f>D352+D351</f>
        <v>6403.7000000000007</v>
      </c>
      <c r="E350" s="470">
        <f>E352+E351</f>
        <v>6.6000000000000003E-2</v>
      </c>
      <c r="F350" s="470">
        <f>F352+F351</f>
        <v>6403.7659999999996</v>
      </c>
      <c r="G350" s="182">
        <f>G352</f>
        <v>118.2</v>
      </c>
      <c r="H350" s="182">
        <f>H352</f>
        <v>875</v>
      </c>
      <c r="I350" s="182">
        <f>I352</f>
        <v>993.2</v>
      </c>
      <c r="J350" s="182">
        <f>J352</f>
        <v>118.2</v>
      </c>
      <c r="K350" s="182"/>
      <c r="L350" s="182">
        <f>L352</f>
        <v>118.2</v>
      </c>
    </row>
    <row r="351" spans="1:12" x14ac:dyDescent="0.25">
      <c r="A351" s="157"/>
      <c r="B351" s="157"/>
      <c r="C351" s="159" t="s">
        <v>255</v>
      </c>
      <c r="D351" s="470">
        <v>4802.8</v>
      </c>
      <c r="E351" s="470">
        <v>2.5000000000000001E-2</v>
      </c>
      <c r="F351" s="470">
        <f>SUM(D351:E351)</f>
        <v>4802.8249999999998</v>
      </c>
      <c r="G351" s="182"/>
      <c r="H351" s="182"/>
      <c r="I351" s="182">
        <v>0</v>
      </c>
      <c r="J351" s="182"/>
      <c r="K351" s="182"/>
      <c r="L351" s="182">
        <v>0</v>
      </c>
    </row>
    <row r="352" spans="1:12" x14ac:dyDescent="0.25">
      <c r="A352" s="157"/>
      <c r="B352" s="157"/>
      <c r="C352" s="159" t="s">
        <v>192</v>
      </c>
      <c r="D352" s="470">
        <v>1600.9</v>
      </c>
      <c r="E352" s="470">
        <v>4.1000000000000002E-2</v>
      </c>
      <c r="F352" s="470">
        <f>SUM(D352:E352)</f>
        <v>1600.941</v>
      </c>
      <c r="G352" s="160">
        <v>118.2</v>
      </c>
      <c r="H352" s="160">
        <v>875</v>
      </c>
      <c r="I352" s="160">
        <f>G352+H352</f>
        <v>993.2</v>
      </c>
      <c r="J352" s="160">
        <v>118.2</v>
      </c>
      <c r="K352" s="160"/>
      <c r="L352" s="160">
        <v>118.2</v>
      </c>
    </row>
    <row r="353" spans="1:12" ht="51.75" x14ac:dyDescent="0.25">
      <c r="A353" s="449" t="s">
        <v>1198</v>
      </c>
      <c r="B353" s="449"/>
      <c r="C353" s="159" t="s">
        <v>1199</v>
      </c>
      <c r="D353" s="469">
        <v>378</v>
      </c>
      <c r="E353" s="469"/>
      <c r="F353" s="469">
        <v>378</v>
      </c>
      <c r="G353" s="160"/>
      <c r="H353" s="160">
        <f>H354</f>
        <v>0</v>
      </c>
      <c r="I353" s="160">
        <f>I354</f>
        <v>0</v>
      </c>
      <c r="J353" s="160"/>
      <c r="K353" s="160"/>
      <c r="L353" s="160">
        <v>0</v>
      </c>
    </row>
    <row r="354" spans="1:12" ht="26.25" x14ac:dyDescent="0.25">
      <c r="A354" s="449"/>
      <c r="B354" s="449" t="s">
        <v>64</v>
      </c>
      <c r="C354" s="159" t="s">
        <v>65</v>
      </c>
      <c r="D354" s="470">
        <v>378</v>
      </c>
      <c r="E354" s="470"/>
      <c r="F354" s="469">
        <v>378</v>
      </c>
      <c r="G354" s="160"/>
      <c r="H354" s="160"/>
      <c r="I354" s="160">
        <f>H354</f>
        <v>0</v>
      </c>
      <c r="J354" s="160"/>
      <c r="K354" s="160"/>
      <c r="L354" s="160"/>
    </row>
    <row r="355" spans="1:12" x14ac:dyDescent="0.25">
      <c r="A355" s="157" t="s">
        <v>1002</v>
      </c>
      <c r="B355" s="157"/>
      <c r="C355" s="26" t="s">
        <v>1017</v>
      </c>
      <c r="D355" s="476">
        <v>0</v>
      </c>
      <c r="E355" s="482"/>
      <c r="F355" s="476">
        <f>F356</f>
        <v>0</v>
      </c>
      <c r="G355" s="160">
        <f>G356</f>
        <v>0</v>
      </c>
      <c r="H355" s="160"/>
      <c r="I355" s="160">
        <f>I356</f>
        <v>0</v>
      </c>
      <c r="J355" s="160">
        <f>J356</f>
        <v>0</v>
      </c>
      <c r="K355" s="160"/>
      <c r="L355" s="160">
        <f>L356</f>
        <v>0</v>
      </c>
    </row>
    <row r="356" spans="1:12" ht="26.25" x14ac:dyDescent="0.25">
      <c r="A356" s="157"/>
      <c r="B356" s="157" t="s">
        <v>64</v>
      </c>
      <c r="C356" s="159" t="s">
        <v>65</v>
      </c>
      <c r="D356" s="476">
        <v>0</v>
      </c>
      <c r="E356" s="482"/>
      <c r="F356" s="476">
        <f>SUM(D356+E356)</f>
        <v>0</v>
      </c>
      <c r="G356" s="160">
        <v>0</v>
      </c>
      <c r="H356" s="160"/>
      <c r="I356" s="160">
        <v>0</v>
      </c>
      <c r="J356" s="160">
        <v>0</v>
      </c>
      <c r="K356" s="160"/>
      <c r="L356" s="160">
        <v>0</v>
      </c>
    </row>
    <row r="357" spans="1:12" ht="26.25" x14ac:dyDescent="0.25">
      <c r="A357" s="148" t="s">
        <v>247</v>
      </c>
      <c r="B357" s="148"/>
      <c r="C357" s="166" t="s">
        <v>473</v>
      </c>
      <c r="D357" s="448">
        <f>D358+D368</f>
        <v>937.2</v>
      </c>
      <c r="E357" s="448">
        <f>E358+E368</f>
        <v>0</v>
      </c>
      <c r="F357" s="448">
        <f>F358+F368</f>
        <v>937.2</v>
      </c>
      <c r="G357" s="150">
        <f>G358+G368</f>
        <v>434.4</v>
      </c>
      <c r="H357" s="150"/>
      <c r="I357" s="150">
        <f>I358+I368</f>
        <v>434.4</v>
      </c>
      <c r="J357" s="150">
        <f>J358+J368</f>
        <v>434.4</v>
      </c>
      <c r="K357" s="150"/>
      <c r="L357" s="150">
        <f>L358+L368</f>
        <v>434.4</v>
      </c>
    </row>
    <row r="358" spans="1:12" ht="26.25" x14ac:dyDescent="0.25">
      <c r="A358" s="151" t="s">
        <v>248</v>
      </c>
      <c r="B358" s="151"/>
      <c r="C358" s="152" t="s">
        <v>456</v>
      </c>
      <c r="D358" s="467">
        <f>D359</f>
        <v>510.3</v>
      </c>
      <c r="E358" s="467">
        <f>E359</f>
        <v>0</v>
      </c>
      <c r="F358" s="467">
        <f>F359</f>
        <v>510.3</v>
      </c>
      <c r="G358" s="153">
        <f>G359</f>
        <v>7.5</v>
      </c>
      <c r="H358" s="153"/>
      <c r="I358" s="153">
        <f>I359</f>
        <v>7.5</v>
      </c>
      <c r="J358" s="153">
        <f>J359</f>
        <v>7.5</v>
      </c>
      <c r="K358" s="153"/>
      <c r="L358" s="153">
        <f>L359</f>
        <v>7.5</v>
      </c>
    </row>
    <row r="359" spans="1:12" ht="39" x14ac:dyDescent="0.25">
      <c r="A359" s="154" t="s">
        <v>249</v>
      </c>
      <c r="B359" s="164"/>
      <c r="C359" s="155" t="s">
        <v>480</v>
      </c>
      <c r="D359" s="468">
        <f>D360+D362+D364+D366</f>
        <v>510.3</v>
      </c>
      <c r="E359" s="468">
        <f>E360+E362+E364+E366</f>
        <v>0</v>
      </c>
      <c r="F359" s="468">
        <f>F360+F362+F364+F366</f>
        <v>510.3</v>
      </c>
      <c r="G359" s="156">
        <f>G360+G362+G364</f>
        <v>7.5</v>
      </c>
      <c r="H359" s="156"/>
      <c r="I359" s="156">
        <f>I360+I362+I364</f>
        <v>7.5</v>
      </c>
      <c r="J359" s="156">
        <f>J360+J362+J364</f>
        <v>7.5</v>
      </c>
      <c r="K359" s="156"/>
      <c r="L359" s="156">
        <f>L360+L362+L364</f>
        <v>7.5</v>
      </c>
    </row>
    <row r="360" spans="1:12" ht="39" x14ac:dyDescent="0.25">
      <c r="A360" s="157" t="s">
        <v>250</v>
      </c>
      <c r="B360" s="157"/>
      <c r="C360" s="159" t="s">
        <v>436</v>
      </c>
      <c r="D360" s="469">
        <f>D361</f>
        <v>1.5</v>
      </c>
      <c r="E360" s="469"/>
      <c r="F360" s="469">
        <f>F361</f>
        <v>1.5</v>
      </c>
      <c r="G360" s="160">
        <f>G361</f>
        <v>1.5</v>
      </c>
      <c r="H360" s="160"/>
      <c r="I360" s="160">
        <f>I361</f>
        <v>1.5</v>
      </c>
      <c r="J360" s="160">
        <f>J361</f>
        <v>1.5</v>
      </c>
      <c r="K360" s="160"/>
      <c r="L360" s="160">
        <f>L361</f>
        <v>1.5</v>
      </c>
    </row>
    <row r="361" spans="1:12" ht="26.25" x14ac:dyDescent="0.25">
      <c r="A361" s="158"/>
      <c r="B361" s="157" t="s">
        <v>64</v>
      </c>
      <c r="C361" s="159" t="s">
        <v>18</v>
      </c>
      <c r="D361" s="469">
        <v>1.5</v>
      </c>
      <c r="E361" s="469"/>
      <c r="F361" s="469">
        <v>1.5</v>
      </c>
      <c r="G361" s="160">
        <v>1.5</v>
      </c>
      <c r="H361" s="160"/>
      <c r="I361" s="160">
        <v>1.5</v>
      </c>
      <c r="J361" s="160">
        <v>1.5</v>
      </c>
      <c r="K361" s="160"/>
      <c r="L361" s="160">
        <v>1.5</v>
      </c>
    </row>
    <row r="362" spans="1:12" ht="39" x14ac:dyDescent="0.25">
      <c r="A362" s="157" t="s">
        <v>251</v>
      </c>
      <c r="B362" s="157"/>
      <c r="C362" s="159" t="s">
        <v>1110</v>
      </c>
      <c r="D362" s="469">
        <f>D363</f>
        <v>6</v>
      </c>
      <c r="E362" s="469"/>
      <c r="F362" s="469">
        <f>F363</f>
        <v>6</v>
      </c>
      <c r="G362" s="160">
        <f>G363</f>
        <v>6</v>
      </c>
      <c r="H362" s="160"/>
      <c r="I362" s="160">
        <f>I363</f>
        <v>6</v>
      </c>
      <c r="J362" s="160">
        <f>J363</f>
        <v>6</v>
      </c>
      <c r="K362" s="160"/>
      <c r="L362" s="160">
        <f>L363</f>
        <v>6</v>
      </c>
    </row>
    <row r="363" spans="1:12" ht="26.25" x14ac:dyDescent="0.25">
      <c r="A363" s="158"/>
      <c r="B363" s="157" t="s">
        <v>17</v>
      </c>
      <c r="C363" s="159" t="s">
        <v>18</v>
      </c>
      <c r="D363" s="469">
        <v>6</v>
      </c>
      <c r="E363" s="469"/>
      <c r="F363" s="469">
        <v>6</v>
      </c>
      <c r="G363" s="160">
        <v>6</v>
      </c>
      <c r="H363" s="160"/>
      <c r="I363" s="160">
        <v>6</v>
      </c>
      <c r="J363" s="160">
        <v>6</v>
      </c>
      <c r="K363" s="160"/>
      <c r="L363" s="160">
        <v>6</v>
      </c>
    </row>
    <row r="364" spans="1:12" ht="51.75" x14ac:dyDescent="0.25">
      <c r="A364" s="157" t="s">
        <v>482</v>
      </c>
      <c r="B364" s="157"/>
      <c r="C364" s="159" t="s">
        <v>479</v>
      </c>
      <c r="D364" s="469">
        <f>D365</f>
        <v>303.5</v>
      </c>
      <c r="E364" s="469"/>
      <c r="F364" s="469">
        <f>F365</f>
        <v>303.5</v>
      </c>
      <c r="G364" s="160">
        <f>G365</f>
        <v>0</v>
      </c>
      <c r="H364" s="160"/>
      <c r="I364" s="160">
        <f>I365</f>
        <v>0</v>
      </c>
      <c r="J364" s="160">
        <f>J365</f>
        <v>0</v>
      </c>
      <c r="K364" s="160"/>
      <c r="L364" s="160">
        <f>L365</f>
        <v>0</v>
      </c>
    </row>
    <row r="365" spans="1:12" ht="26.25" x14ac:dyDescent="0.25">
      <c r="A365" s="157"/>
      <c r="B365" s="157" t="s">
        <v>17</v>
      </c>
      <c r="C365" s="159" t="s">
        <v>18</v>
      </c>
      <c r="D365" s="470">
        <v>303.5</v>
      </c>
      <c r="E365" s="470"/>
      <c r="F365" s="470">
        <f>SUM(D365:E365)</f>
        <v>303.5</v>
      </c>
      <c r="G365" s="160">
        <v>0</v>
      </c>
      <c r="H365" s="160"/>
      <c r="I365" s="160">
        <v>0</v>
      </c>
      <c r="J365" s="160">
        <v>0</v>
      </c>
      <c r="K365" s="160"/>
      <c r="L365" s="160">
        <v>0</v>
      </c>
    </row>
    <row r="366" spans="1:12" ht="26.25" x14ac:dyDescent="0.25">
      <c r="A366" s="157" t="s">
        <v>1131</v>
      </c>
      <c r="B366" s="157"/>
      <c r="C366" s="159" t="s">
        <v>1130</v>
      </c>
      <c r="D366" s="470">
        <v>199.3</v>
      </c>
      <c r="E366" s="470"/>
      <c r="F366" s="470">
        <v>199.3</v>
      </c>
      <c r="G366" s="160"/>
      <c r="H366" s="160"/>
      <c r="I366" s="160">
        <v>0</v>
      </c>
      <c r="J366" s="160"/>
      <c r="K366" s="160"/>
      <c r="L366" s="160">
        <v>0</v>
      </c>
    </row>
    <row r="367" spans="1:12" ht="26.25" x14ac:dyDescent="0.25">
      <c r="A367" s="157"/>
      <c r="B367" s="157" t="s">
        <v>17</v>
      </c>
      <c r="C367" s="159" t="s">
        <v>18</v>
      </c>
      <c r="D367" s="470">
        <v>199.3</v>
      </c>
      <c r="E367" s="470"/>
      <c r="F367" s="470">
        <v>199.3</v>
      </c>
      <c r="G367" s="160"/>
      <c r="H367" s="160"/>
      <c r="I367" s="160">
        <v>0</v>
      </c>
      <c r="J367" s="160"/>
      <c r="K367" s="160"/>
      <c r="L367" s="160">
        <v>0</v>
      </c>
    </row>
    <row r="368" spans="1:12" ht="26.25" x14ac:dyDescent="0.25">
      <c r="A368" s="151" t="s">
        <v>252</v>
      </c>
      <c r="B368" s="151"/>
      <c r="C368" s="152" t="s">
        <v>474</v>
      </c>
      <c r="D368" s="467">
        <f>D369</f>
        <v>426.9</v>
      </c>
      <c r="E368" s="467"/>
      <c r="F368" s="467">
        <f>F369</f>
        <v>426.9</v>
      </c>
      <c r="G368" s="153">
        <f t="shared" ref="G368:L368" si="59">G369</f>
        <v>426.9</v>
      </c>
      <c r="H368" s="153"/>
      <c r="I368" s="153">
        <f t="shared" si="59"/>
        <v>426.9</v>
      </c>
      <c r="J368" s="153">
        <f t="shared" si="59"/>
        <v>426.9</v>
      </c>
      <c r="K368" s="153"/>
      <c r="L368" s="153">
        <f t="shared" si="59"/>
        <v>426.9</v>
      </c>
    </row>
    <row r="369" spans="1:12" ht="26.25" x14ac:dyDescent="0.25">
      <c r="A369" s="154" t="s">
        <v>254</v>
      </c>
      <c r="B369" s="164"/>
      <c r="C369" s="155" t="s">
        <v>475</v>
      </c>
      <c r="D369" s="468">
        <f>D370+D376+D380+D378</f>
        <v>426.9</v>
      </c>
      <c r="E369" s="468"/>
      <c r="F369" s="468">
        <f>F370+F376+F380+F378</f>
        <v>426.9</v>
      </c>
      <c r="G369" s="156">
        <f>G370+G376+G380+G378</f>
        <v>426.9</v>
      </c>
      <c r="H369" s="156"/>
      <c r="I369" s="156">
        <f>I370+I376+I380+I378</f>
        <v>426.9</v>
      </c>
      <c r="J369" s="156">
        <f>J370+J376+J380+J378</f>
        <v>426.9</v>
      </c>
      <c r="K369" s="156"/>
      <c r="L369" s="156">
        <f>L370+L376+L380+L378</f>
        <v>426.9</v>
      </c>
    </row>
    <row r="370" spans="1:12" ht="39" x14ac:dyDescent="0.25">
      <c r="A370" s="157" t="s">
        <v>256</v>
      </c>
      <c r="B370" s="157"/>
      <c r="C370" s="180" t="s">
        <v>437</v>
      </c>
      <c r="D370" s="469">
        <f>D374+D371</f>
        <v>343.2</v>
      </c>
      <c r="E370" s="469"/>
      <c r="F370" s="469">
        <f>F374+F371</f>
        <v>343.2</v>
      </c>
      <c r="G370" s="160">
        <f>G374+G371</f>
        <v>343.2</v>
      </c>
      <c r="H370" s="160"/>
      <c r="I370" s="160">
        <f>I374+I371</f>
        <v>343.2</v>
      </c>
      <c r="J370" s="160">
        <f>J374+J371</f>
        <v>343.2</v>
      </c>
      <c r="K370" s="160"/>
      <c r="L370" s="160">
        <f>L374+L371</f>
        <v>343.2</v>
      </c>
    </row>
    <row r="371" spans="1:12" ht="51.75" x14ac:dyDescent="0.25">
      <c r="A371" s="157"/>
      <c r="B371" s="157" t="s">
        <v>30</v>
      </c>
      <c r="C371" s="159" t="s">
        <v>450</v>
      </c>
      <c r="D371" s="470">
        <f>D373+D372</f>
        <v>323.2</v>
      </c>
      <c r="E371" s="470"/>
      <c r="F371" s="470">
        <f>F373+F372</f>
        <v>323.2</v>
      </c>
      <c r="G371" s="160">
        <f>G373+G372</f>
        <v>323.2</v>
      </c>
      <c r="H371" s="160"/>
      <c r="I371" s="160">
        <f>I373+I372</f>
        <v>323.2</v>
      </c>
      <c r="J371" s="160">
        <f>J373+J372</f>
        <v>323.2</v>
      </c>
      <c r="K371" s="160"/>
      <c r="L371" s="160">
        <f>L373+L372</f>
        <v>323.2</v>
      </c>
    </row>
    <row r="372" spans="1:12" x14ac:dyDescent="0.25">
      <c r="A372" s="157"/>
      <c r="B372" s="157"/>
      <c r="C372" s="159" t="s">
        <v>255</v>
      </c>
      <c r="D372" s="470">
        <v>115.3</v>
      </c>
      <c r="E372" s="470"/>
      <c r="F372" s="470">
        <v>115.3</v>
      </c>
      <c r="G372" s="160">
        <v>115.3</v>
      </c>
      <c r="H372" s="160"/>
      <c r="I372" s="160">
        <v>115.3</v>
      </c>
      <c r="J372" s="160">
        <v>115.3</v>
      </c>
      <c r="K372" s="160"/>
      <c r="L372" s="160">
        <v>115.3</v>
      </c>
    </row>
    <row r="373" spans="1:12" x14ac:dyDescent="0.25">
      <c r="A373" s="157"/>
      <c r="B373" s="157"/>
      <c r="C373" s="159" t="s">
        <v>192</v>
      </c>
      <c r="D373" s="469">
        <v>207.9</v>
      </c>
      <c r="E373" s="469"/>
      <c r="F373" s="469">
        <v>207.9</v>
      </c>
      <c r="G373" s="160">
        <v>207.9</v>
      </c>
      <c r="H373" s="160"/>
      <c r="I373" s="160">
        <v>207.9</v>
      </c>
      <c r="J373" s="160">
        <v>207.9</v>
      </c>
      <c r="K373" s="160"/>
      <c r="L373" s="160">
        <v>207.9</v>
      </c>
    </row>
    <row r="374" spans="1:12" ht="26.25" x14ac:dyDescent="0.25">
      <c r="A374" s="157"/>
      <c r="B374" s="157" t="s">
        <v>17</v>
      </c>
      <c r="C374" s="159" t="s">
        <v>18</v>
      </c>
      <c r="D374" s="469">
        <f>D375</f>
        <v>20</v>
      </c>
      <c r="E374" s="469"/>
      <c r="F374" s="469">
        <f>F375</f>
        <v>20</v>
      </c>
      <c r="G374" s="160">
        <f t="shared" ref="G374:L374" si="60">G375</f>
        <v>20</v>
      </c>
      <c r="H374" s="160"/>
      <c r="I374" s="160">
        <f t="shared" si="60"/>
        <v>20</v>
      </c>
      <c r="J374" s="160">
        <f t="shared" si="60"/>
        <v>20</v>
      </c>
      <c r="K374" s="160"/>
      <c r="L374" s="160">
        <f t="shared" si="60"/>
        <v>20</v>
      </c>
    </row>
    <row r="375" spans="1:12" x14ac:dyDescent="0.25">
      <c r="A375" s="157"/>
      <c r="B375" s="157"/>
      <c r="C375" s="159" t="s">
        <v>192</v>
      </c>
      <c r="D375" s="469">
        <v>20</v>
      </c>
      <c r="E375" s="469"/>
      <c r="F375" s="469">
        <v>20</v>
      </c>
      <c r="G375" s="160">
        <v>20</v>
      </c>
      <c r="H375" s="160"/>
      <c r="I375" s="160">
        <v>20</v>
      </c>
      <c r="J375" s="160">
        <v>20</v>
      </c>
      <c r="K375" s="160"/>
      <c r="L375" s="160">
        <v>20</v>
      </c>
    </row>
    <row r="376" spans="1:12" ht="26.25" x14ac:dyDescent="0.25">
      <c r="A376" s="157" t="s">
        <v>257</v>
      </c>
      <c r="B376" s="157"/>
      <c r="C376" s="159" t="s">
        <v>481</v>
      </c>
      <c r="D376" s="469">
        <f>D377</f>
        <v>20.5</v>
      </c>
      <c r="E376" s="469">
        <f>E377</f>
        <v>0</v>
      </c>
      <c r="F376" s="469">
        <f>F377</f>
        <v>20.5</v>
      </c>
      <c r="G376" s="160">
        <f>G377</f>
        <v>50</v>
      </c>
      <c r="H376" s="160"/>
      <c r="I376" s="160">
        <f>I377</f>
        <v>50</v>
      </c>
      <c r="J376" s="160">
        <f>J377</f>
        <v>50</v>
      </c>
      <c r="K376" s="160"/>
      <c r="L376" s="160">
        <f>L377</f>
        <v>50</v>
      </c>
    </row>
    <row r="377" spans="1:12" ht="26.25" x14ac:dyDescent="0.25">
      <c r="A377" s="157"/>
      <c r="B377" s="157" t="s">
        <v>17</v>
      </c>
      <c r="C377" s="159" t="s">
        <v>18</v>
      </c>
      <c r="D377" s="469">
        <v>20.5</v>
      </c>
      <c r="E377" s="470"/>
      <c r="F377" s="469">
        <f>SUM(D377:E377)</f>
        <v>20.5</v>
      </c>
      <c r="G377" s="160">
        <v>50</v>
      </c>
      <c r="H377" s="160"/>
      <c r="I377" s="160">
        <v>50</v>
      </c>
      <c r="J377" s="160">
        <v>50</v>
      </c>
      <c r="K377" s="160"/>
      <c r="L377" s="160">
        <v>50</v>
      </c>
    </row>
    <row r="378" spans="1:12" x14ac:dyDescent="0.25">
      <c r="A378" s="157" t="s">
        <v>258</v>
      </c>
      <c r="B378" s="157"/>
      <c r="C378" s="159" t="s">
        <v>483</v>
      </c>
      <c r="D378" s="470">
        <f>D379</f>
        <v>43.2</v>
      </c>
      <c r="E378" s="470">
        <f>E379</f>
        <v>0</v>
      </c>
      <c r="F378" s="470">
        <f>F379</f>
        <v>43.2</v>
      </c>
      <c r="G378" s="182">
        <f>G379</f>
        <v>13.7</v>
      </c>
      <c r="H378" s="182"/>
      <c r="I378" s="182">
        <f>I379</f>
        <v>13.7</v>
      </c>
      <c r="J378" s="182">
        <f>J379</f>
        <v>13.7</v>
      </c>
      <c r="K378" s="182"/>
      <c r="L378" s="182">
        <f>L379</f>
        <v>13.7</v>
      </c>
    </row>
    <row r="379" spans="1:12" ht="26.25" x14ac:dyDescent="0.25">
      <c r="A379" s="157"/>
      <c r="B379" s="157" t="s">
        <v>17</v>
      </c>
      <c r="C379" s="159" t="s">
        <v>18</v>
      </c>
      <c r="D379" s="470">
        <v>43.2</v>
      </c>
      <c r="E379" s="470"/>
      <c r="F379" s="470">
        <f>SUM(D379:E379)</f>
        <v>43.2</v>
      </c>
      <c r="G379" s="182">
        <v>13.7</v>
      </c>
      <c r="H379" s="182"/>
      <c r="I379" s="182">
        <v>13.7</v>
      </c>
      <c r="J379" s="182">
        <v>13.7</v>
      </c>
      <c r="K379" s="182"/>
      <c r="L379" s="182">
        <v>13.7</v>
      </c>
    </row>
    <row r="380" spans="1:12" ht="26.25" x14ac:dyDescent="0.25">
      <c r="A380" s="157" t="s">
        <v>737</v>
      </c>
      <c r="B380" s="157"/>
      <c r="C380" s="159" t="s">
        <v>736</v>
      </c>
      <c r="D380" s="470">
        <f>D381</f>
        <v>20</v>
      </c>
      <c r="E380" s="470"/>
      <c r="F380" s="470">
        <f>F381</f>
        <v>20</v>
      </c>
      <c r="G380" s="182">
        <f>G381</f>
        <v>20</v>
      </c>
      <c r="H380" s="182"/>
      <c r="I380" s="182">
        <f>I381</f>
        <v>20</v>
      </c>
      <c r="J380" s="182">
        <f>J381</f>
        <v>20</v>
      </c>
      <c r="K380" s="182"/>
      <c r="L380" s="182">
        <f>L381</f>
        <v>20</v>
      </c>
    </row>
    <row r="381" spans="1:12" ht="26.25" x14ac:dyDescent="0.25">
      <c r="A381" s="157"/>
      <c r="B381" s="157" t="s">
        <v>17</v>
      </c>
      <c r="C381" s="159" t="s">
        <v>18</v>
      </c>
      <c r="D381" s="470">
        <v>20</v>
      </c>
      <c r="E381" s="470"/>
      <c r="F381" s="470">
        <v>20</v>
      </c>
      <c r="G381" s="182">
        <v>20</v>
      </c>
      <c r="H381" s="182"/>
      <c r="I381" s="182">
        <v>20</v>
      </c>
      <c r="J381" s="182">
        <v>20</v>
      </c>
      <c r="K381" s="182"/>
      <c r="L381" s="182">
        <v>20</v>
      </c>
    </row>
    <row r="382" spans="1:12" ht="26.25" x14ac:dyDescent="0.25">
      <c r="A382" s="148" t="s">
        <v>259</v>
      </c>
      <c r="B382" s="148"/>
      <c r="C382" s="166" t="s">
        <v>1111</v>
      </c>
      <c r="D382" s="448">
        <f>D383</f>
        <v>100</v>
      </c>
      <c r="E382" s="448"/>
      <c r="F382" s="448">
        <f>F383</f>
        <v>100</v>
      </c>
      <c r="G382" s="150">
        <f t="shared" ref="G382:L382" si="61">G383</f>
        <v>0</v>
      </c>
      <c r="H382" s="150"/>
      <c r="I382" s="150">
        <f t="shared" si="61"/>
        <v>0</v>
      </c>
      <c r="J382" s="150">
        <f t="shared" si="61"/>
        <v>0</v>
      </c>
      <c r="K382" s="150"/>
      <c r="L382" s="150">
        <f t="shared" si="61"/>
        <v>0</v>
      </c>
    </row>
    <row r="383" spans="1:12" ht="39" x14ac:dyDescent="0.25">
      <c r="A383" s="154" t="s">
        <v>978</v>
      </c>
      <c r="B383" s="164"/>
      <c r="C383" s="197" t="s">
        <v>980</v>
      </c>
      <c r="D383" s="468">
        <f t="shared" ref="D383:L384" si="62">D384</f>
        <v>100</v>
      </c>
      <c r="E383" s="468"/>
      <c r="F383" s="468">
        <f t="shared" si="62"/>
        <v>100</v>
      </c>
      <c r="G383" s="156">
        <f t="shared" si="62"/>
        <v>0</v>
      </c>
      <c r="H383" s="156"/>
      <c r="I383" s="156">
        <f t="shared" si="62"/>
        <v>0</v>
      </c>
      <c r="J383" s="156">
        <f t="shared" si="62"/>
        <v>0</v>
      </c>
      <c r="K383" s="156"/>
      <c r="L383" s="156">
        <f t="shared" si="62"/>
        <v>0</v>
      </c>
    </row>
    <row r="384" spans="1:12" ht="26.25" x14ac:dyDescent="0.25">
      <c r="A384" s="157" t="s">
        <v>979</v>
      </c>
      <c r="B384" s="157"/>
      <c r="C384" s="198" t="s">
        <v>981</v>
      </c>
      <c r="D384" s="469">
        <f t="shared" si="62"/>
        <v>100</v>
      </c>
      <c r="E384" s="469"/>
      <c r="F384" s="469">
        <f t="shared" si="62"/>
        <v>100</v>
      </c>
      <c r="G384" s="160">
        <f t="shared" si="62"/>
        <v>0</v>
      </c>
      <c r="H384" s="160"/>
      <c r="I384" s="160">
        <f t="shared" si="62"/>
        <v>0</v>
      </c>
      <c r="J384" s="160">
        <f t="shared" si="62"/>
        <v>0</v>
      </c>
      <c r="K384" s="160"/>
      <c r="L384" s="160">
        <f t="shared" si="62"/>
        <v>0</v>
      </c>
    </row>
    <row r="385" spans="1:15" x14ac:dyDescent="0.25">
      <c r="A385" s="157"/>
      <c r="B385" s="157" t="s">
        <v>17</v>
      </c>
      <c r="C385" s="199" t="s">
        <v>33</v>
      </c>
      <c r="D385" s="470">
        <v>100</v>
      </c>
      <c r="E385" s="470"/>
      <c r="F385" s="470">
        <v>100</v>
      </c>
      <c r="G385" s="182">
        <v>0</v>
      </c>
      <c r="H385" s="182"/>
      <c r="I385" s="182">
        <v>0</v>
      </c>
      <c r="J385" s="182">
        <v>0</v>
      </c>
      <c r="K385" s="182"/>
      <c r="L385" s="182">
        <v>0</v>
      </c>
    </row>
    <row r="386" spans="1:15" ht="26.25" x14ac:dyDescent="0.25">
      <c r="A386" s="148" t="s">
        <v>260</v>
      </c>
      <c r="B386" s="148"/>
      <c r="C386" s="166" t="s">
        <v>261</v>
      </c>
      <c r="D386" s="448">
        <f t="shared" ref="D386:L386" si="63">D387+D410+D461+D508</f>
        <v>53908.9</v>
      </c>
      <c r="E386" s="448">
        <f t="shared" si="63"/>
        <v>-387.17300000000006</v>
      </c>
      <c r="F386" s="448">
        <f t="shared" si="63"/>
        <v>53521.726999999999</v>
      </c>
      <c r="G386" s="150">
        <f t="shared" si="63"/>
        <v>39245</v>
      </c>
      <c r="H386" s="150">
        <f t="shared" si="63"/>
        <v>0</v>
      </c>
      <c r="I386" s="150">
        <f t="shared" si="63"/>
        <v>39245</v>
      </c>
      <c r="J386" s="150">
        <f t="shared" si="63"/>
        <v>34145.899999999994</v>
      </c>
      <c r="K386" s="150">
        <f t="shared" si="63"/>
        <v>0</v>
      </c>
      <c r="L386" s="150">
        <f t="shared" si="63"/>
        <v>34145.899999999994</v>
      </c>
      <c r="N386" s="200"/>
    </row>
    <row r="387" spans="1:15" x14ac:dyDescent="0.25">
      <c r="A387" s="151" t="s">
        <v>262</v>
      </c>
      <c r="B387" s="151"/>
      <c r="C387" s="201" t="s">
        <v>263</v>
      </c>
      <c r="D387" s="467">
        <f>D388</f>
        <v>3079.2</v>
      </c>
      <c r="E387" s="467">
        <f>E388</f>
        <v>-7.2999999999999995E-2</v>
      </c>
      <c r="F387" s="467">
        <f>F388</f>
        <v>3079.1270000000004</v>
      </c>
      <c r="G387" s="153">
        <f>G388+G401</f>
        <v>2830.2</v>
      </c>
      <c r="H387" s="153"/>
      <c r="I387" s="153">
        <f>I388+I401</f>
        <v>2830.2</v>
      </c>
      <c r="J387" s="153">
        <f>J388</f>
        <v>1241.9000000000001</v>
      </c>
      <c r="K387" s="153"/>
      <c r="L387" s="153">
        <f>L388</f>
        <v>1241.9000000000001</v>
      </c>
      <c r="N387" s="200"/>
    </row>
    <row r="388" spans="1:15" ht="39" x14ac:dyDescent="0.25">
      <c r="A388" s="154" t="s">
        <v>264</v>
      </c>
      <c r="B388" s="154"/>
      <c r="C388" s="197" t="s">
        <v>265</v>
      </c>
      <c r="D388" s="468">
        <f t="shared" ref="D388:G389" si="64">D391+D396</f>
        <v>3079.2</v>
      </c>
      <c r="E388" s="468">
        <f t="shared" si="64"/>
        <v>-7.2999999999999995E-2</v>
      </c>
      <c r="F388" s="468">
        <f t="shared" si="64"/>
        <v>3079.1270000000004</v>
      </c>
      <c r="G388" s="156">
        <f t="shared" si="64"/>
        <v>1148.7</v>
      </c>
      <c r="H388" s="156"/>
      <c r="I388" s="156">
        <f>I391+I396</f>
        <v>1148.7</v>
      </c>
      <c r="J388" s="156">
        <f>J391+J396</f>
        <v>1241.9000000000001</v>
      </c>
      <c r="K388" s="156"/>
      <c r="L388" s="156">
        <f>L391+L396</f>
        <v>1241.9000000000001</v>
      </c>
      <c r="N388" s="200"/>
      <c r="O388" s="200"/>
    </row>
    <row r="389" spans="1:15" ht="26.25" x14ac:dyDescent="0.25">
      <c r="A389" s="157" t="s">
        <v>469</v>
      </c>
      <c r="B389" s="157"/>
      <c r="C389" s="207" t="s">
        <v>1027</v>
      </c>
      <c r="D389" s="469">
        <f t="shared" si="64"/>
        <v>3079.2</v>
      </c>
      <c r="E389" s="469">
        <f t="shared" si="64"/>
        <v>-7.2999999999999995E-2</v>
      </c>
      <c r="F389" s="469">
        <f t="shared" si="64"/>
        <v>3079.1270000000004</v>
      </c>
      <c r="G389" s="160">
        <f t="shared" si="64"/>
        <v>1148.7</v>
      </c>
      <c r="H389" s="160"/>
      <c r="I389" s="160">
        <f>I392+I397</f>
        <v>1148.7</v>
      </c>
      <c r="J389" s="160">
        <f>J392+J397</f>
        <v>1241.9000000000001</v>
      </c>
      <c r="K389" s="160"/>
      <c r="L389" s="160">
        <f>L392+L397</f>
        <v>1241.9000000000001</v>
      </c>
      <c r="N389" s="200"/>
      <c r="O389" s="200"/>
    </row>
    <row r="390" spans="1:15" x14ac:dyDescent="0.25">
      <c r="A390" s="157"/>
      <c r="B390" s="158"/>
      <c r="C390" s="207" t="s">
        <v>1</v>
      </c>
      <c r="D390" s="466"/>
      <c r="E390" s="466"/>
      <c r="F390" s="466"/>
      <c r="G390" s="147"/>
      <c r="H390" s="147"/>
      <c r="I390" s="147"/>
      <c r="J390" s="147"/>
      <c r="K390" s="147"/>
      <c r="L390" s="147"/>
      <c r="N390" s="200"/>
      <c r="O390" s="200"/>
    </row>
    <row r="391" spans="1:15" ht="51.75" x14ac:dyDescent="0.25">
      <c r="A391" s="193" t="s">
        <v>1055</v>
      </c>
      <c r="B391" s="158"/>
      <c r="C391" s="364" t="s">
        <v>1072</v>
      </c>
      <c r="D391" s="484">
        <f>D392</f>
        <v>1961.8</v>
      </c>
      <c r="E391" s="484">
        <f>E392</f>
        <v>-4.2999999999999997E-2</v>
      </c>
      <c r="F391" s="484">
        <f>F392</f>
        <v>1961.7570000000001</v>
      </c>
      <c r="G391" s="365">
        <f>G392</f>
        <v>0</v>
      </c>
      <c r="H391" s="365"/>
      <c r="I391" s="365">
        <f>I392</f>
        <v>0</v>
      </c>
      <c r="J391" s="365">
        <f>J392</f>
        <v>0</v>
      </c>
      <c r="K391" s="365"/>
      <c r="L391" s="365">
        <f>L392</f>
        <v>0</v>
      </c>
    </row>
    <row r="392" spans="1:15" x14ac:dyDescent="0.25">
      <c r="A392" s="204"/>
      <c r="B392" s="157" t="s">
        <v>37</v>
      </c>
      <c r="C392" s="159" t="s">
        <v>38</v>
      </c>
      <c r="D392" s="469">
        <f>D393+D394+D395</f>
        <v>1961.8</v>
      </c>
      <c r="E392" s="469">
        <f>E393+E394+E395</f>
        <v>-4.2999999999999997E-2</v>
      </c>
      <c r="F392" s="469">
        <f>F393+F394+F395</f>
        <v>1961.7570000000001</v>
      </c>
      <c r="G392" s="160">
        <f>G393+G394+G395</f>
        <v>0</v>
      </c>
      <c r="H392" s="160"/>
      <c r="I392" s="160">
        <f>I393+I394+I395</f>
        <v>0</v>
      </c>
      <c r="J392" s="160">
        <f>J393+J394+J395</f>
        <v>0</v>
      </c>
      <c r="K392" s="160"/>
      <c r="L392" s="160">
        <f>L393+L394+L395</f>
        <v>0</v>
      </c>
    </row>
    <row r="393" spans="1:15" x14ac:dyDescent="0.25">
      <c r="A393" s="193"/>
      <c r="B393" s="158"/>
      <c r="C393" s="198" t="s">
        <v>266</v>
      </c>
      <c r="D393" s="470">
        <v>1833.1</v>
      </c>
      <c r="E393" s="470">
        <v>1.7000000000000001E-2</v>
      </c>
      <c r="F393" s="470">
        <f t="shared" ref="F393:F394" si="65">SUM(D393:E393)</f>
        <v>1833.117</v>
      </c>
      <c r="G393" s="160">
        <v>0</v>
      </c>
      <c r="H393" s="160"/>
      <c r="I393" s="160">
        <v>0</v>
      </c>
      <c r="J393" s="160">
        <v>0</v>
      </c>
      <c r="K393" s="160"/>
      <c r="L393" s="160">
        <v>0</v>
      </c>
    </row>
    <row r="394" spans="1:15" x14ac:dyDescent="0.25">
      <c r="A394" s="193"/>
      <c r="B394" s="158"/>
      <c r="C394" s="198" t="s">
        <v>191</v>
      </c>
      <c r="D394" s="470">
        <v>96.5</v>
      </c>
      <c r="E394" s="470">
        <v>-0.02</v>
      </c>
      <c r="F394" s="470">
        <f t="shared" si="65"/>
        <v>96.48</v>
      </c>
      <c r="G394" s="160">
        <v>0</v>
      </c>
      <c r="H394" s="160"/>
      <c r="I394" s="160">
        <v>0</v>
      </c>
      <c r="J394" s="160">
        <v>0</v>
      </c>
      <c r="K394" s="160"/>
      <c r="L394" s="160">
        <v>0</v>
      </c>
    </row>
    <row r="395" spans="1:15" x14ac:dyDescent="0.25">
      <c r="A395" s="193"/>
      <c r="B395" s="158"/>
      <c r="C395" s="198" t="s">
        <v>267</v>
      </c>
      <c r="D395" s="470">
        <v>32.200000000000003</v>
      </c>
      <c r="E395" s="470">
        <v>-0.04</v>
      </c>
      <c r="F395" s="470">
        <f>SUM(D395:E395)</f>
        <v>32.160000000000004</v>
      </c>
      <c r="G395" s="160">
        <v>0</v>
      </c>
      <c r="H395" s="160"/>
      <c r="I395" s="160">
        <v>0</v>
      </c>
      <c r="J395" s="160">
        <v>0</v>
      </c>
      <c r="K395" s="160"/>
      <c r="L395" s="160">
        <v>0</v>
      </c>
    </row>
    <row r="396" spans="1:15" ht="26.25" x14ac:dyDescent="0.25">
      <c r="A396" s="193" t="s">
        <v>1056</v>
      </c>
      <c r="B396" s="157"/>
      <c r="C396" s="366" t="s">
        <v>1073</v>
      </c>
      <c r="D396" s="600">
        <f>D397</f>
        <v>1117.4000000000001</v>
      </c>
      <c r="E396" s="600">
        <f>E397</f>
        <v>-3.0000000000000002E-2</v>
      </c>
      <c r="F396" s="600">
        <f>F397</f>
        <v>1117.3700000000001</v>
      </c>
      <c r="G396" s="365">
        <f>G397</f>
        <v>1148.7</v>
      </c>
      <c r="H396" s="365"/>
      <c r="I396" s="365">
        <f>I397</f>
        <v>1148.7</v>
      </c>
      <c r="J396" s="365">
        <f>J397</f>
        <v>1241.9000000000001</v>
      </c>
      <c r="K396" s="365"/>
      <c r="L396" s="365">
        <f>L397</f>
        <v>1241.9000000000001</v>
      </c>
      <c r="M396" s="202"/>
    </row>
    <row r="397" spans="1:15" ht="26.25" x14ac:dyDescent="0.25">
      <c r="A397" s="158"/>
      <c r="B397" s="193" t="s">
        <v>17</v>
      </c>
      <c r="C397" s="194" t="s">
        <v>18</v>
      </c>
      <c r="D397" s="470">
        <f>D398+D399+D400</f>
        <v>1117.4000000000001</v>
      </c>
      <c r="E397" s="470">
        <f>E398+E399+E400</f>
        <v>-3.0000000000000002E-2</v>
      </c>
      <c r="F397" s="470">
        <f>F398+F399+F400</f>
        <v>1117.3700000000001</v>
      </c>
      <c r="G397" s="160">
        <f>G398+G399+G400</f>
        <v>1148.7</v>
      </c>
      <c r="H397" s="160"/>
      <c r="I397" s="160">
        <f>I398+I399+I400</f>
        <v>1148.7</v>
      </c>
      <c r="J397" s="160">
        <f>J398+J399+J400</f>
        <v>1241.9000000000001</v>
      </c>
      <c r="K397" s="160"/>
      <c r="L397" s="160">
        <f>L398+L399+L400</f>
        <v>1241.9000000000001</v>
      </c>
    </row>
    <row r="398" spans="1:15" x14ac:dyDescent="0.25">
      <c r="A398" s="193"/>
      <c r="B398" s="157"/>
      <c r="C398" s="198" t="s">
        <v>266</v>
      </c>
      <c r="D398" s="470">
        <v>743.1</v>
      </c>
      <c r="E398" s="470">
        <v>-4.9000000000000002E-2</v>
      </c>
      <c r="F398" s="470">
        <f t="shared" ref="F398:F400" si="66">SUM(D398:E398)</f>
        <v>743.05100000000004</v>
      </c>
      <c r="G398" s="160">
        <v>763.9</v>
      </c>
      <c r="H398" s="160"/>
      <c r="I398" s="160">
        <v>763.9</v>
      </c>
      <c r="J398" s="160">
        <v>825.8</v>
      </c>
      <c r="K398" s="160"/>
      <c r="L398" s="160">
        <v>825.8</v>
      </c>
      <c r="M398" s="202"/>
    </row>
    <row r="399" spans="1:15" x14ac:dyDescent="0.25">
      <c r="A399" s="193"/>
      <c r="B399" s="157"/>
      <c r="C399" s="198" t="s">
        <v>191</v>
      </c>
      <c r="D399" s="470">
        <v>39.1</v>
      </c>
      <c r="E399" s="470">
        <v>8.0000000000000002E-3</v>
      </c>
      <c r="F399" s="470">
        <f t="shared" si="66"/>
        <v>39.108000000000004</v>
      </c>
      <c r="G399" s="160">
        <v>40.200000000000003</v>
      </c>
      <c r="H399" s="160"/>
      <c r="I399" s="160">
        <v>40.200000000000003</v>
      </c>
      <c r="J399" s="160">
        <v>43.5</v>
      </c>
      <c r="K399" s="160"/>
      <c r="L399" s="160">
        <v>43.5</v>
      </c>
      <c r="M399" s="202"/>
    </row>
    <row r="400" spans="1:15" x14ac:dyDescent="0.25">
      <c r="A400" s="193"/>
      <c r="B400" s="157"/>
      <c r="C400" s="198" t="s">
        <v>267</v>
      </c>
      <c r="D400" s="470">
        <v>335.2</v>
      </c>
      <c r="E400" s="470">
        <v>1.0999999999999999E-2</v>
      </c>
      <c r="F400" s="470">
        <f t="shared" si="66"/>
        <v>335.21100000000001</v>
      </c>
      <c r="G400" s="160">
        <v>344.6</v>
      </c>
      <c r="H400" s="160"/>
      <c r="I400" s="160">
        <v>344.6</v>
      </c>
      <c r="J400" s="160">
        <v>372.6</v>
      </c>
      <c r="K400" s="160"/>
      <c r="L400" s="160">
        <v>372.6</v>
      </c>
      <c r="M400" s="202"/>
    </row>
    <row r="401" spans="1:14" ht="26.25" x14ac:dyDescent="0.25">
      <c r="A401" s="154" t="s">
        <v>776</v>
      </c>
      <c r="B401" s="164"/>
      <c r="C401" s="197" t="s">
        <v>777</v>
      </c>
      <c r="D401" s="485">
        <v>0</v>
      </c>
      <c r="E401" s="485"/>
      <c r="F401" s="485">
        <v>0</v>
      </c>
      <c r="G401" s="203">
        <f>G404+G407</f>
        <v>1681.5</v>
      </c>
      <c r="H401" s="203"/>
      <c r="I401" s="203">
        <f>I404+I407</f>
        <v>1681.5</v>
      </c>
      <c r="J401" s="203">
        <v>0</v>
      </c>
      <c r="K401" s="203"/>
      <c r="L401" s="203">
        <f>L404+L407</f>
        <v>0</v>
      </c>
      <c r="M401" s="202"/>
    </row>
    <row r="402" spans="1:14" s="368" customFormat="1" ht="26.25" x14ac:dyDescent="0.25">
      <c r="A402" s="157" t="s">
        <v>789</v>
      </c>
      <c r="B402" s="157"/>
      <c r="C402" s="207" t="s">
        <v>1027</v>
      </c>
      <c r="D402" s="469">
        <f>D404+D407</f>
        <v>0</v>
      </c>
      <c r="E402" s="469"/>
      <c r="F402" s="469">
        <f>F404+F407</f>
        <v>0</v>
      </c>
      <c r="G402" s="160">
        <f>G404+G407</f>
        <v>1681.5</v>
      </c>
      <c r="H402" s="160"/>
      <c r="I402" s="160">
        <f>I404+I407</f>
        <v>1681.5</v>
      </c>
      <c r="J402" s="160">
        <f>J404+J407</f>
        <v>0</v>
      </c>
      <c r="K402" s="160"/>
      <c r="L402" s="160">
        <f>L404+L407</f>
        <v>0</v>
      </c>
      <c r="M402" s="367"/>
    </row>
    <row r="403" spans="1:14" s="368" customFormat="1" x14ac:dyDescent="0.25">
      <c r="A403" s="157"/>
      <c r="B403" s="157"/>
      <c r="C403" s="207" t="s">
        <v>1</v>
      </c>
      <c r="D403" s="469"/>
      <c r="E403" s="469"/>
      <c r="F403" s="469"/>
      <c r="G403" s="160"/>
      <c r="H403" s="160"/>
      <c r="I403" s="160"/>
      <c r="J403" s="160"/>
      <c r="K403" s="160"/>
      <c r="L403" s="160"/>
      <c r="M403" s="367"/>
    </row>
    <row r="404" spans="1:14" x14ac:dyDescent="0.25">
      <c r="A404" s="157"/>
      <c r="B404" s="157"/>
      <c r="C404" s="364" t="s">
        <v>778</v>
      </c>
      <c r="D404" s="484">
        <v>0</v>
      </c>
      <c r="E404" s="484"/>
      <c r="F404" s="484">
        <v>0</v>
      </c>
      <c r="G404" s="365">
        <f>G405</f>
        <v>1420.9</v>
      </c>
      <c r="H404" s="365"/>
      <c r="I404" s="365">
        <f>I405</f>
        <v>1420.9</v>
      </c>
      <c r="J404" s="365">
        <v>0</v>
      </c>
      <c r="K404" s="365"/>
      <c r="L404" s="365">
        <v>0</v>
      </c>
      <c r="M404" s="202"/>
    </row>
    <row r="405" spans="1:14" ht="26.25" x14ac:dyDescent="0.25">
      <c r="A405" s="157"/>
      <c r="B405" s="157" t="s">
        <v>186</v>
      </c>
      <c r="C405" s="159" t="s">
        <v>187</v>
      </c>
      <c r="D405" s="469">
        <v>0</v>
      </c>
      <c r="E405" s="469"/>
      <c r="F405" s="469">
        <v>0</v>
      </c>
      <c r="G405" s="160">
        <f>G406</f>
        <v>1420.9</v>
      </c>
      <c r="H405" s="160"/>
      <c r="I405" s="160">
        <f>I406</f>
        <v>1420.9</v>
      </c>
      <c r="J405" s="160">
        <v>0</v>
      </c>
      <c r="K405" s="160"/>
      <c r="L405" s="160">
        <v>0</v>
      </c>
      <c r="M405" s="202"/>
    </row>
    <row r="406" spans="1:14" x14ac:dyDescent="0.25">
      <c r="A406" s="157"/>
      <c r="B406" s="157"/>
      <c r="C406" s="198" t="s">
        <v>267</v>
      </c>
      <c r="D406" s="469">
        <v>0</v>
      </c>
      <c r="E406" s="469"/>
      <c r="F406" s="469">
        <v>0</v>
      </c>
      <c r="G406" s="160">
        <v>1420.9</v>
      </c>
      <c r="H406" s="160"/>
      <c r="I406" s="160">
        <v>1420.9</v>
      </c>
      <c r="J406" s="160">
        <v>0</v>
      </c>
      <c r="K406" s="160"/>
      <c r="L406" s="160">
        <v>0</v>
      </c>
      <c r="M406" s="202"/>
    </row>
    <row r="407" spans="1:14" ht="39" x14ac:dyDescent="0.25">
      <c r="A407" s="157"/>
      <c r="B407" s="157"/>
      <c r="C407" s="364" t="s">
        <v>1030</v>
      </c>
      <c r="D407" s="484">
        <v>0</v>
      </c>
      <c r="E407" s="484"/>
      <c r="F407" s="484">
        <v>0</v>
      </c>
      <c r="G407" s="365">
        <f>G408</f>
        <v>260.60000000000002</v>
      </c>
      <c r="H407" s="365"/>
      <c r="I407" s="365">
        <f>I408</f>
        <v>260.60000000000002</v>
      </c>
      <c r="J407" s="365">
        <v>0</v>
      </c>
      <c r="K407" s="365"/>
      <c r="L407" s="365">
        <v>0</v>
      </c>
      <c r="M407" s="202"/>
    </row>
    <row r="408" spans="1:14" ht="26.25" x14ac:dyDescent="0.25">
      <c r="A408" s="157"/>
      <c r="B408" s="157" t="s">
        <v>186</v>
      </c>
      <c r="C408" s="159" t="s">
        <v>187</v>
      </c>
      <c r="D408" s="469">
        <v>0</v>
      </c>
      <c r="E408" s="469"/>
      <c r="F408" s="469">
        <v>0</v>
      </c>
      <c r="G408" s="160">
        <f>G409</f>
        <v>260.60000000000002</v>
      </c>
      <c r="H408" s="160"/>
      <c r="I408" s="160">
        <f>I409</f>
        <v>260.60000000000002</v>
      </c>
      <c r="J408" s="160">
        <v>0</v>
      </c>
      <c r="K408" s="160"/>
      <c r="L408" s="160">
        <v>0</v>
      </c>
      <c r="M408" s="202"/>
    </row>
    <row r="409" spans="1:14" x14ac:dyDescent="0.25">
      <c r="A409" s="157"/>
      <c r="B409" s="157"/>
      <c r="C409" s="198" t="s">
        <v>267</v>
      </c>
      <c r="D409" s="469">
        <v>0</v>
      </c>
      <c r="E409" s="469"/>
      <c r="F409" s="469">
        <v>0</v>
      </c>
      <c r="G409" s="160">
        <v>260.60000000000002</v>
      </c>
      <c r="H409" s="160"/>
      <c r="I409" s="160">
        <v>260.60000000000002</v>
      </c>
      <c r="J409" s="160">
        <v>0</v>
      </c>
      <c r="K409" s="160"/>
      <c r="L409" s="160">
        <v>0</v>
      </c>
      <c r="M409" s="202"/>
    </row>
    <row r="410" spans="1:14" ht="26.25" x14ac:dyDescent="0.25">
      <c r="A410" s="151" t="s">
        <v>268</v>
      </c>
      <c r="B410" s="151"/>
      <c r="C410" s="201" t="s">
        <v>269</v>
      </c>
      <c r="D410" s="467">
        <f t="shared" ref="D410:J410" si="67">D411+D416+D455+D438</f>
        <v>25580.1</v>
      </c>
      <c r="E410" s="467">
        <f t="shared" si="67"/>
        <v>-0.11300000000000045</v>
      </c>
      <c r="F410" s="467">
        <f t="shared" si="67"/>
        <v>25579.986999999997</v>
      </c>
      <c r="G410" s="153">
        <f t="shared" si="67"/>
        <v>14041.4</v>
      </c>
      <c r="H410" s="153">
        <f t="shared" si="67"/>
        <v>0</v>
      </c>
      <c r="I410" s="153">
        <f t="shared" si="67"/>
        <v>14041.4</v>
      </c>
      <c r="J410" s="153">
        <f t="shared" si="67"/>
        <v>14041.4</v>
      </c>
      <c r="K410" s="153"/>
      <c r="L410" s="153">
        <f>L411+L416+L455+L438</f>
        <v>14041.4</v>
      </c>
    </row>
    <row r="411" spans="1:14" ht="39" x14ac:dyDescent="0.25">
      <c r="A411" s="154" t="s">
        <v>270</v>
      </c>
      <c r="B411" s="154"/>
      <c r="C411" s="197" t="s">
        <v>271</v>
      </c>
      <c r="D411" s="468">
        <f t="shared" ref="D411:L412" si="68">D412</f>
        <v>898.1</v>
      </c>
      <c r="E411" s="468">
        <f>E412</f>
        <v>0</v>
      </c>
      <c r="F411" s="468">
        <f t="shared" si="68"/>
        <v>898.1</v>
      </c>
      <c r="G411" s="156">
        <f t="shared" si="68"/>
        <v>0</v>
      </c>
      <c r="H411" s="156"/>
      <c r="I411" s="156">
        <f t="shared" si="68"/>
        <v>0</v>
      </c>
      <c r="J411" s="156">
        <f t="shared" si="68"/>
        <v>0</v>
      </c>
      <c r="K411" s="156"/>
      <c r="L411" s="156">
        <f t="shared" si="68"/>
        <v>0</v>
      </c>
      <c r="M411" s="200"/>
      <c r="N411" s="200"/>
    </row>
    <row r="412" spans="1:14" ht="26.25" x14ac:dyDescent="0.25">
      <c r="A412" s="157" t="s">
        <v>272</v>
      </c>
      <c r="B412" s="158"/>
      <c r="C412" s="198" t="s">
        <v>811</v>
      </c>
      <c r="D412" s="469">
        <f t="shared" si="68"/>
        <v>898.1</v>
      </c>
      <c r="E412" s="469">
        <f>E413</f>
        <v>0</v>
      </c>
      <c r="F412" s="469">
        <f t="shared" si="68"/>
        <v>898.1</v>
      </c>
      <c r="G412" s="160">
        <f t="shared" si="68"/>
        <v>0</v>
      </c>
      <c r="H412" s="160"/>
      <c r="I412" s="160">
        <f t="shared" si="68"/>
        <v>0</v>
      </c>
      <c r="J412" s="160">
        <f t="shared" si="68"/>
        <v>0</v>
      </c>
      <c r="K412" s="160"/>
      <c r="L412" s="160">
        <f t="shared" si="68"/>
        <v>0</v>
      </c>
      <c r="M412" s="200"/>
      <c r="N412" s="200"/>
    </row>
    <row r="413" spans="1:14" ht="26.25" x14ac:dyDescent="0.25">
      <c r="A413" s="157"/>
      <c r="B413" s="193" t="s">
        <v>17</v>
      </c>
      <c r="C413" s="194" t="s">
        <v>18</v>
      </c>
      <c r="D413" s="469">
        <f>D414+D415</f>
        <v>898.1</v>
      </c>
      <c r="E413" s="469">
        <f>E414+E415</f>
        <v>0</v>
      </c>
      <c r="F413" s="469">
        <f>F414+F415</f>
        <v>898.1</v>
      </c>
      <c r="G413" s="160">
        <v>0</v>
      </c>
      <c r="H413" s="160"/>
      <c r="I413" s="160">
        <v>0</v>
      </c>
      <c r="J413" s="160">
        <v>0</v>
      </c>
      <c r="K413" s="160"/>
      <c r="L413" s="160">
        <v>0</v>
      </c>
      <c r="M413" s="200"/>
      <c r="N413" s="200"/>
    </row>
    <row r="414" spans="1:14" x14ac:dyDescent="0.25">
      <c r="A414" s="442"/>
      <c r="B414" s="193"/>
      <c r="C414" s="28" t="s">
        <v>1166</v>
      </c>
      <c r="D414" s="469">
        <v>120.5</v>
      </c>
      <c r="E414" s="469"/>
      <c r="F414" s="469">
        <v>120.5</v>
      </c>
      <c r="G414" s="160"/>
      <c r="H414" s="160"/>
      <c r="I414" s="160">
        <v>0</v>
      </c>
      <c r="J414" s="160"/>
      <c r="K414" s="160"/>
      <c r="L414" s="160">
        <v>0</v>
      </c>
      <c r="M414" s="200"/>
      <c r="N414" s="200"/>
    </row>
    <row r="415" spans="1:14" x14ac:dyDescent="0.25">
      <c r="A415" s="442"/>
      <c r="B415" s="193"/>
      <c r="C415" s="30" t="s">
        <v>192</v>
      </c>
      <c r="D415" s="469">
        <v>777.6</v>
      </c>
      <c r="E415" s="470"/>
      <c r="F415" s="469">
        <f>SUM(D415:E415)</f>
        <v>777.6</v>
      </c>
      <c r="G415" s="160"/>
      <c r="H415" s="160"/>
      <c r="I415" s="160">
        <v>0</v>
      </c>
      <c r="J415" s="160"/>
      <c r="K415" s="160"/>
      <c r="L415" s="160">
        <v>0</v>
      </c>
      <c r="M415" s="200"/>
      <c r="N415" s="200"/>
    </row>
    <row r="416" spans="1:14" ht="26.25" x14ac:dyDescent="0.25">
      <c r="A416" s="154" t="s">
        <v>273</v>
      </c>
      <c r="B416" s="154"/>
      <c r="C416" s="197" t="s">
        <v>274</v>
      </c>
      <c r="D416" s="468">
        <f>D417+D436+D427+D429+D432+D423</f>
        <v>9670</v>
      </c>
      <c r="E416" s="468">
        <f>E417+E436+E427+E429+E432+E423</f>
        <v>-0.13700000000000045</v>
      </c>
      <c r="F416" s="468">
        <f>F417+F436+F427+F429+F432+F423</f>
        <v>9669.8629999999994</v>
      </c>
      <c r="G416" s="156">
        <f>G417+G436</f>
        <v>0</v>
      </c>
      <c r="H416" s="156"/>
      <c r="I416" s="156">
        <f>I417+I436</f>
        <v>0</v>
      </c>
      <c r="J416" s="156">
        <f>J417+J436</f>
        <v>0</v>
      </c>
      <c r="K416" s="156"/>
      <c r="L416" s="156">
        <f>L417+L436</f>
        <v>0</v>
      </c>
    </row>
    <row r="417" spans="1:12" x14ac:dyDescent="0.25">
      <c r="A417" s="449" t="s">
        <v>275</v>
      </c>
      <c r="B417" s="158"/>
      <c r="C417" s="205" t="s">
        <v>782</v>
      </c>
      <c r="D417" s="470">
        <f>D420+D419</f>
        <v>813.5</v>
      </c>
      <c r="E417" s="482">
        <f>E420+E419+E421</f>
        <v>-26.136999999999997</v>
      </c>
      <c r="F417" s="482">
        <f>F420+F419+F421</f>
        <v>787.36299999999994</v>
      </c>
      <c r="G417" s="160">
        <f>G418</f>
        <v>0</v>
      </c>
      <c r="H417" s="160"/>
      <c r="I417" s="160">
        <f>I418</f>
        <v>0</v>
      </c>
      <c r="J417" s="160">
        <f>J418</f>
        <v>0</v>
      </c>
      <c r="K417" s="160"/>
      <c r="L417" s="160">
        <f>L418</f>
        <v>0</v>
      </c>
    </row>
    <row r="418" spans="1:12" ht="26.25" x14ac:dyDescent="0.25">
      <c r="A418" s="158"/>
      <c r="B418" s="157" t="s">
        <v>17</v>
      </c>
      <c r="C418" s="194" t="s">
        <v>18</v>
      </c>
      <c r="D418" s="470">
        <f>SUM(D419:D420)</f>
        <v>813.5</v>
      </c>
      <c r="E418" s="482">
        <f>SUM(E419:E420)</f>
        <v>-53.650999999999996</v>
      </c>
      <c r="F418" s="482">
        <f>SUM(F419:F420)</f>
        <v>759.84899999999993</v>
      </c>
      <c r="G418" s="160">
        <v>0</v>
      </c>
      <c r="H418" s="160"/>
      <c r="I418" s="160">
        <v>0</v>
      </c>
      <c r="J418" s="160">
        <f>J419+J420</f>
        <v>0</v>
      </c>
      <c r="K418" s="160"/>
      <c r="L418" s="160">
        <f>L419+L420</f>
        <v>0</v>
      </c>
    </row>
    <row r="419" spans="1:12" ht="15.75" customHeight="1" x14ac:dyDescent="0.25">
      <c r="A419" s="157"/>
      <c r="B419" s="158"/>
      <c r="C419" s="205" t="s">
        <v>191</v>
      </c>
      <c r="D419" s="470">
        <v>538</v>
      </c>
      <c r="E419" s="482">
        <f>-27.514-0.055</f>
        <v>-27.568999999999999</v>
      </c>
      <c r="F419" s="482">
        <f>SUM(D419:E419)</f>
        <v>510.43099999999998</v>
      </c>
      <c r="G419" s="160">
        <v>0</v>
      </c>
      <c r="H419" s="160"/>
      <c r="I419" s="160">
        <v>0</v>
      </c>
      <c r="J419" s="160">
        <v>0</v>
      </c>
      <c r="K419" s="160"/>
      <c r="L419" s="160">
        <v>0</v>
      </c>
    </row>
    <row r="420" spans="1:12" x14ac:dyDescent="0.25">
      <c r="A420" s="157"/>
      <c r="B420" s="158"/>
      <c r="C420" s="205" t="s">
        <v>192</v>
      </c>
      <c r="D420" s="470">
        <v>275.5</v>
      </c>
      <c r="E420" s="482">
        <v>-26.082000000000001</v>
      </c>
      <c r="F420" s="482">
        <f>SUM(D420:E420)</f>
        <v>249.41800000000001</v>
      </c>
      <c r="G420" s="160">
        <v>0</v>
      </c>
      <c r="H420" s="160"/>
      <c r="I420" s="160">
        <v>0</v>
      </c>
      <c r="J420" s="160">
        <v>0</v>
      </c>
      <c r="K420" s="160"/>
      <c r="L420" s="160">
        <v>0</v>
      </c>
    </row>
    <row r="421" spans="1:12" x14ac:dyDescent="0.25">
      <c r="A421" s="465"/>
      <c r="B421" s="9" t="s">
        <v>32</v>
      </c>
      <c r="C421" s="28" t="s">
        <v>33</v>
      </c>
      <c r="D421" s="470"/>
      <c r="E421" s="482">
        <v>27.513999999999999</v>
      </c>
      <c r="F421" s="482">
        <v>27.513999999999999</v>
      </c>
      <c r="G421" s="160"/>
      <c r="H421" s="160"/>
      <c r="I421" s="160"/>
      <c r="J421" s="160"/>
      <c r="K421" s="160"/>
      <c r="L421" s="160"/>
    </row>
    <row r="422" spans="1:12" x14ac:dyDescent="0.25">
      <c r="A422" s="465"/>
      <c r="B422" s="9"/>
      <c r="C422" s="28" t="s">
        <v>255</v>
      </c>
      <c r="D422" s="470"/>
      <c r="E422" s="482">
        <v>27.513999999999999</v>
      </c>
      <c r="F422" s="482">
        <v>27.513999999999999</v>
      </c>
      <c r="G422" s="160"/>
      <c r="H422" s="160"/>
      <c r="I422" s="160"/>
      <c r="J422" s="160"/>
      <c r="K422" s="160"/>
      <c r="L422" s="160"/>
    </row>
    <row r="423" spans="1:12" ht="39" x14ac:dyDescent="0.25">
      <c r="A423" s="157" t="s">
        <v>1062</v>
      </c>
      <c r="B423" s="158"/>
      <c r="C423" s="194" t="s">
        <v>276</v>
      </c>
      <c r="D423" s="470">
        <v>1200</v>
      </c>
      <c r="E423" s="482">
        <f>E424</f>
        <v>0</v>
      </c>
      <c r="F423" s="482">
        <f>F424</f>
        <v>1200</v>
      </c>
      <c r="G423" s="160"/>
      <c r="H423" s="160"/>
      <c r="I423" s="160">
        <v>0</v>
      </c>
      <c r="J423" s="160"/>
      <c r="K423" s="160"/>
      <c r="L423" s="160">
        <v>0</v>
      </c>
    </row>
    <row r="424" spans="1:12" ht="26.25" x14ac:dyDescent="0.25">
      <c r="A424" s="158"/>
      <c r="B424" s="157" t="s">
        <v>17</v>
      </c>
      <c r="C424" s="194" t="s">
        <v>18</v>
      </c>
      <c r="D424" s="470">
        <v>1200</v>
      </c>
      <c r="E424" s="482">
        <f>E425+E426</f>
        <v>0</v>
      </c>
      <c r="F424" s="482">
        <f>F425+F426</f>
        <v>1200</v>
      </c>
      <c r="G424" s="160"/>
      <c r="H424" s="160"/>
      <c r="I424" s="160">
        <v>0</v>
      </c>
      <c r="J424" s="160"/>
      <c r="K424" s="160"/>
      <c r="L424" s="160">
        <v>0</v>
      </c>
    </row>
    <row r="425" spans="1:12" x14ac:dyDescent="0.25">
      <c r="A425" s="157"/>
      <c r="B425" s="158"/>
      <c r="C425" s="205" t="s">
        <v>191</v>
      </c>
      <c r="D425" s="470">
        <v>900</v>
      </c>
      <c r="E425" s="482"/>
      <c r="F425" s="482">
        <v>900</v>
      </c>
      <c r="G425" s="160"/>
      <c r="H425" s="160"/>
      <c r="I425" s="160">
        <v>0</v>
      </c>
      <c r="J425" s="160"/>
      <c r="K425" s="160"/>
      <c r="L425" s="160">
        <v>0</v>
      </c>
    </row>
    <row r="426" spans="1:12" x14ac:dyDescent="0.25">
      <c r="A426" s="157"/>
      <c r="B426" s="158"/>
      <c r="C426" s="205" t="s">
        <v>192</v>
      </c>
      <c r="D426" s="470">
        <v>300</v>
      </c>
      <c r="E426" s="482"/>
      <c r="F426" s="482">
        <v>300</v>
      </c>
      <c r="G426" s="160"/>
      <c r="H426" s="160"/>
      <c r="I426" s="160">
        <v>0</v>
      </c>
      <c r="J426" s="160"/>
      <c r="K426" s="160"/>
      <c r="L426" s="160">
        <v>0</v>
      </c>
    </row>
    <row r="427" spans="1:12" x14ac:dyDescent="0.25">
      <c r="A427" s="192" t="s">
        <v>501</v>
      </c>
      <c r="B427" s="192"/>
      <c r="C427" s="188" t="s">
        <v>806</v>
      </c>
      <c r="D427" s="470">
        <f>D428</f>
        <v>2691.6</v>
      </c>
      <c r="E427" s="482"/>
      <c r="F427" s="482">
        <f>F428</f>
        <v>2691.6</v>
      </c>
      <c r="G427" s="182">
        <v>0</v>
      </c>
      <c r="H427" s="182"/>
      <c r="I427" s="182">
        <v>0</v>
      </c>
      <c r="J427" s="182">
        <v>0</v>
      </c>
      <c r="K427" s="182"/>
      <c r="L427" s="182">
        <v>0</v>
      </c>
    </row>
    <row r="428" spans="1:12" ht="25.5" x14ac:dyDescent="0.25">
      <c r="A428" s="196"/>
      <c r="B428" s="192" t="s">
        <v>17</v>
      </c>
      <c r="C428" s="188" t="s">
        <v>18</v>
      </c>
      <c r="D428" s="470">
        <v>2691.6</v>
      </c>
      <c r="E428" s="482"/>
      <c r="F428" s="482">
        <v>2691.6</v>
      </c>
      <c r="G428" s="182">
        <v>0</v>
      </c>
      <c r="H428" s="182"/>
      <c r="I428" s="182">
        <v>0</v>
      </c>
      <c r="J428" s="182">
        <v>0</v>
      </c>
      <c r="K428" s="182"/>
      <c r="L428" s="182">
        <v>0</v>
      </c>
    </row>
    <row r="429" spans="1:12" ht="25.5" x14ac:dyDescent="0.25">
      <c r="A429" s="192" t="s">
        <v>724</v>
      </c>
      <c r="B429" s="192"/>
      <c r="C429" s="188" t="s">
        <v>1148</v>
      </c>
      <c r="D429" s="470">
        <f>D430</f>
        <v>1493.9</v>
      </c>
      <c r="E429" s="482">
        <f>E430+E431</f>
        <v>147</v>
      </c>
      <c r="F429" s="482">
        <f>F430+F431</f>
        <v>1640.9</v>
      </c>
      <c r="G429" s="182">
        <f>G430</f>
        <v>0</v>
      </c>
      <c r="H429" s="182"/>
      <c r="I429" s="182">
        <f>I430</f>
        <v>0</v>
      </c>
      <c r="J429" s="182">
        <f>J430</f>
        <v>0</v>
      </c>
      <c r="K429" s="182"/>
      <c r="L429" s="182">
        <f>L430</f>
        <v>0</v>
      </c>
    </row>
    <row r="430" spans="1:12" ht="25.5" x14ac:dyDescent="0.25">
      <c r="A430" s="196"/>
      <c r="B430" s="192" t="s">
        <v>17</v>
      </c>
      <c r="C430" s="188" t="s">
        <v>18</v>
      </c>
      <c r="D430" s="470">
        <v>1493.9</v>
      </c>
      <c r="E430" s="482"/>
      <c r="F430" s="482">
        <f>SUM(D430:E430)</f>
        <v>1493.9</v>
      </c>
      <c r="G430" s="182">
        <v>0</v>
      </c>
      <c r="H430" s="182"/>
      <c r="I430" s="182">
        <v>0</v>
      </c>
      <c r="J430" s="182">
        <v>0</v>
      </c>
      <c r="K430" s="182"/>
      <c r="L430" s="182">
        <v>0</v>
      </c>
    </row>
    <row r="431" spans="1:12" ht="25.5" x14ac:dyDescent="0.25">
      <c r="A431" s="196"/>
      <c r="B431" s="174" t="s">
        <v>64</v>
      </c>
      <c r="C431" s="28" t="s">
        <v>65</v>
      </c>
      <c r="D431" s="470">
        <v>0</v>
      </c>
      <c r="E431" s="482">
        <v>147</v>
      </c>
      <c r="F431" s="482">
        <v>147</v>
      </c>
      <c r="G431" s="182"/>
      <c r="H431" s="182"/>
      <c r="I431" s="182"/>
      <c r="J431" s="182"/>
      <c r="K431" s="182"/>
      <c r="L431" s="182"/>
    </row>
    <row r="432" spans="1:12" ht="26.25" x14ac:dyDescent="0.25">
      <c r="A432" s="449" t="s">
        <v>790</v>
      </c>
      <c r="B432" s="158"/>
      <c r="C432" s="205" t="s">
        <v>783</v>
      </c>
      <c r="D432" s="470">
        <f>D433</f>
        <v>2871</v>
      </c>
      <c r="E432" s="482">
        <f>E433</f>
        <v>-121</v>
      </c>
      <c r="F432" s="482">
        <f>F433</f>
        <v>2750</v>
      </c>
      <c r="G432" s="182">
        <f>G433</f>
        <v>0</v>
      </c>
      <c r="H432" s="182"/>
      <c r="I432" s="182">
        <f>I433</f>
        <v>0</v>
      </c>
      <c r="J432" s="182">
        <f>J433</f>
        <v>0</v>
      </c>
      <c r="K432" s="182"/>
      <c r="L432" s="182">
        <f>L433</f>
        <v>0</v>
      </c>
    </row>
    <row r="433" spans="1:12" ht="26.25" x14ac:dyDescent="0.25">
      <c r="A433" s="158"/>
      <c r="B433" s="157" t="s">
        <v>17</v>
      </c>
      <c r="C433" s="194" t="s">
        <v>18</v>
      </c>
      <c r="D433" s="470">
        <f>D434+D435</f>
        <v>2871</v>
      </c>
      <c r="E433" s="482">
        <f>SUM(E434:E435)</f>
        <v>-121</v>
      </c>
      <c r="F433" s="482">
        <f>SUM(D433:E433)</f>
        <v>2750</v>
      </c>
      <c r="G433" s="160">
        <v>0</v>
      </c>
      <c r="H433" s="160"/>
      <c r="I433" s="160">
        <v>0</v>
      </c>
      <c r="J433" s="160">
        <v>0</v>
      </c>
      <c r="K433" s="160"/>
      <c r="L433" s="160">
        <v>0</v>
      </c>
    </row>
    <row r="434" spans="1:12" x14ac:dyDescent="0.25">
      <c r="A434" s="158"/>
      <c r="B434" s="157"/>
      <c r="C434" s="205" t="s">
        <v>192</v>
      </c>
      <c r="D434" s="470">
        <v>1871</v>
      </c>
      <c r="E434" s="482">
        <v>-121</v>
      </c>
      <c r="F434" s="482">
        <f>SUM(D434:E434)</f>
        <v>1750</v>
      </c>
      <c r="G434" s="160"/>
      <c r="H434" s="160"/>
      <c r="I434" s="160">
        <v>0</v>
      </c>
      <c r="J434" s="160"/>
      <c r="K434" s="160"/>
      <c r="L434" s="160">
        <v>0</v>
      </c>
    </row>
    <row r="435" spans="1:12" x14ac:dyDescent="0.25">
      <c r="A435" s="158"/>
      <c r="B435" s="157"/>
      <c r="C435" s="159" t="s">
        <v>1143</v>
      </c>
      <c r="D435" s="470">
        <v>1000</v>
      </c>
      <c r="E435" s="470"/>
      <c r="F435" s="470">
        <v>1000</v>
      </c>
      <c r="G435" s="160"/>
      <c r="H435" s="160"/>
      <c r="I435" s="160">
        <v>0</v>
      </c>
      <c r="J435" s="160"/>
      <c r="K435" s="160"/>
      <c r="L435" s="160">
        <v>0</v>
      </c>
    </row>
    <row r="436" spans="1:12" ht="52.5" customHeight="1" x14ac:dyDescent="0.25">
      <c r="A436" s="157" t="s">
        <v>791</v>
      </c>
      <c r="B436" s="157"/>
      <c r="C436" s="194" t="s">
        <v>1063</v>
      </c>
      <c r="D436" s="470">
        <f>D437</f>
        <v>600</v>
      </c>
      <c r="E436" s="470"/>
      <c r="F436" s="470">
        <f>F437</f>
        <v>600</v>
      </c>
      <c r="G436" s="160">
        <f>G437</f>
        <v>0</v>
      </c>
      <c r="H436" s="160"/>
      <c r="I436" s="160">
        <f>I437</f>
        <v>0</v>
      </c>
      <c r="J436" s="160">
        <f>J437</f>
        <v>0</v>
      </c>
      <c r="K436" s="160"/>
      <c r="L436" s="160">
        <f>L437</f>
        <v>0</v>
      </c>
    </row>
    <row r="437" spans="1:12" ht="26.25" x14ac:dyDescent="0.25">
      <c r="A437" s="204"/>
      <c r="B437" s="193" t="s">
        <v>17</v>
      </c>
      <c r="C437" s="194" t="s">
        <v>18</v>
      </c>
      <c r="D437" s="469">
        <f>1500-900</f>
        <v>600</v>
      </c>
      <c r="E437" s="469"/>
      <c r="F437" s="469">
        <f>1500-900</f>
        <v>600</v>
      </c>
      <c r="G437" s="160">
        <v>0</v>
      </c>
      <c r="H437" s="160"/>
      <c r="I437" s="160">
        <v>0</v>
      </c>
      <c r="J437" s="160">
        <v>0</v>
      </c>
      <c r="K437" s="160"/>
      <c r="L437" s="160">
        <v>0</v>
      </c>
    </row>
    <row r="438" spans="1:12" ht="34.5" customHeight="1" x14ac:dyDescent="0.25">
      <c r="A438" s="154" t="s">
        <v>277</v>
      </c>
      <c r="B438" s="164"/>
      <c r="C438" s="197" t="s">
        <v>278</v>
      </c>
      <c r="D438" s="468">
        <f>D439+D447+D449+D451+D453+D441</f>
        <v>3874.3999999999996</v>
      </c>
      <c r="E438" s="468">
        <f>E439+E441+E453</f>
        <v>2.4000000000000007E-2</v>
      </c>
      <c r="F438" s="468">
        <f>F439+F447+F449+F451+F453+F441</f>
        <v>3874.424</v>
      </c>
      <c r="G438" s="156">
        <f>G439+G447+G449+G451</f>
        <v>15.2</v>
      </c>
      <c r="H438" s="156"/>
      <c r="I438" s="156">
        <f>I439+I447+I449+I451</f>
        <v>15.2</v>
      </c>
      <c r="J438" s="156">
        <f>J439+J447+J449+J451</f>
        <v>15.2</v>
      </c>
      <c r="K438" s="156"/>
      <c r="L438" s="156">
        <f>L439+L447+L449+L451</f>
        <v>15.2</v>
      </c>
    </row>
    <row r="439" spans="1:12" x14ac:dyDescent="0.25">
      <c r="A439" s="157" t="s">
        <v>279</v>
      </c>
      <c r="B439" s="204"/>
      <c r="C439" s="194" t="s">
        <v>280</v>
      </c>
      <c r="D439" s="470">
        <f>D440</f>
        <v>0</v>
      </c>
      <c r="E439" s="470"/>
      <c r="F439" s="470">
        <f>F440</f>
        <v>0</v>
      </c>
      <c r="G439" s="182">
        <f>G440</f>
        <v>0</v>
      </c>
      <c r="H439" s="182"/>
      <c r="I439" s="182">
        <f>I440</f>
        <v>0</v>
      </c>
      <c r="J439" s="182">
        <f>J440</f>
        <v>0</v>
      </c>
      <c r="K439" s="182"/>
      <c r="L439" s="182">
        <f>L440</f>
        <v>0</v>
      </c>
    </row>
    <row r="440" spans="1:12" ht="26.25" x14ac:dyDescent="0.25">
      <c r="A440" s="158"/>
      <c r="B440" s="193" t="s">
        <v>17</v>
      </c>
      <c r="C440" s="194" t="s">
        <v>18</v>
      </c>
      <c r="D440" s="470">
        <v>0</v>
      </c>
      <c r="E440" s="470"/>
      <c r="F440" s="470">
        <f>SUM(D440:E440)</f>
        <v>0</v>
      </c>
      <c r="G440" s="160">
        <v>0</v>
      </c>
      <c r="H440" s="160"/>
      <c r="I440" s="160">
        <v>0</v>
      </c>
      <c r="J440" s="182">
        <v>0</v>
      </c>
      <c r="K440" s="160"/>
      <c r="L440" s="182">
        <v>0</v>
      </c>
    </row>
    <row r="441" spans="1:12" ht="39" x14ac:dyDescent="0.25">
      <c r="A441" s="449" t="s">
        <v>1123</v>
      </c>
      <c r="B441" s="193"/>
      <c r="C441" s="194" t="s">
        <v>1124</v>
      </c>
      <c r="D441" s="470">
        <f>D442+D445</f>
        <v>1593.8</v>
      </c>
      <c r="E441" s="470">
        <f>E442+E445</f>
        <v>2.4000000000000007E-2</v>
      </c>
      <c r="F441" s="470">
        <f>F442+F445</f>
        <v>1593.8240000000001</v>
      </c>
      <c r="G441" s="160"/>
      <c r="H441" s="160"/>
      <c r="I441" s="160">
        <v>0</v>
      </c>
      <c r="J441" s="182"/>
      <c r="K441" s="160"/>
      <c r="L441" s="182">
        <v>0</v>
      </c>
    </row>
    <row r="442" spans="1:12" ht="26.25" x14ac:dyDescent="0.25">
      <c r="A442" s="158"/>
      <c r="B442" s="193" t="s">
        <v>17</v>
      </c>
      <c r="C442" s="194" t="s">
        <v>18</v>
      </c>
      <c r="D442" s="470">
        <f>D443+D444</f>
        <v>1593.8</v>
      </c>
      <c r="E442" s="470">
        <f>E443+E444</f>
        <v>2.4000000000000007E-2</v>
      </c>
      <c r="F442" s="470">
        <f>F443+F444</f>
        <v>1593.8240000000001</v>
      </c>
      <c r="G442" s="160"/>
      <c r="H442" s="160"/>
      <c r="I442" s="160">
        <v>0</v>
      </c>
      <c r="J442" s="182"/>
      <c r="K442" s="160"/>
      <c r="L442" s="182">
        <v>0</v>
      </c>
    </row>
    <row r="443" spans="1:12" x14ac:dyDescent="0.25">
      <c r="A443" s="158"/>
      <c r="B443" s="193"/>
      <c r="C443" s="205" t="s">
        <v>191</v>
      </c>
      <c r="D443" s="470">
        <v>1195.3</v>
      </c>
      <c r="E443" s="470">
        <v>6.8000000000000005E-2</v>
      </c>
      <c r="F443" s="470">
        <v>1195.3679999999999</v>
      </c>
      <c r="G443" s="160"/>
      <c r="H443" s="160"/>
      <c r="I443" s="160">
        <v>0</v>
      </c>
      <c r="J443" s="182"/>
      <c r="K443" s="160"/>
      <c r="L443" s="182">
        <v>0</v>
      </c>
    </row>
    <row r="444" spans="1:12" x14ac:dyDescent="0.25">
      <c r="A444" s="158"/>
      <c r="B444" s="193"/>
      <c r="C444" s="205" t="s">
        <v>192</v>
      </c>
      <c r="D444" s="470">
        <v>398.5</v>
      </c>
      <c r="E444" s="470">
        <v>-4.3999999999999997E-2</v>
      </c>
      <c r="F444" s="470">
        <v>398.45600000000002</v>
      </c>
      <c r="G444" s="160"/>
      <c r="H444" s="160"/>
      <c r="I444" s="160">
        <v>0</v>
      </c>
      <c r="J444" s="182"/>
      <c r="K444" s="160"/>
      <c r="L444" s="182">
        <v>0</v>
      </c>
    </row>
    <row r="445" spans="1:12" x14ac:dyDescent="0.25">
      <c r="A445" s="158"/>
      <c r="B445" s="193" t="s">
        <v>32</v>
      </c>
      <c r="C445" s="159" t="s">
        <v>33</v>
      </c>
      <c r="D445" s="470">
        <v>0</v>
      </c>
      <c r="E445" s="470"/>
      <c r="F445" s="470">
        <v>0</v>
      </c>
      <c r="G445" s="160"/>
      <c r="H445" s="160"/>
      <c r="I445" s="160">
        <v>0</v>
      </c>
      <c r="J445" s="182"/>
      <c r="K445" s="160"/>
      <c r="L445" s="182">
        <v>0</v>
      </c>
    </row>
    <row r="446" spans="1:12" x14ac:dyDescent="0.25">
      <c r="A446" s="158"/>
      <c r="B446" s="193"/>
      <c r="C446" s="205" t="s">
        <v>191</v>
      </c>
      <c r="D446" s="470">
        <v>0</v>
      </c>
      <c r="E446" s="470"/>
      <c r="F446" s="470">
        <v>0</v>
      </c>
      <c r="G446" s="160"/>
      <c r="H446" s="160"/>
      <c r="I446" s="160">
        <v>0</v>
      </c>
      <c r="J446" s="182"/>
      <c r="K446" s="160"/>
      <c r="L446" s="182">
        <v>0</v>
      </c>
    </row>
    <row r="447" spans="1:12" x14ac:dyDescent="0.25">
      <c r="A447" s="157" t="s">
        <v>281</v>
      </c>
      <c r="B447" s="193"/>
      <c r="C447" s="194" t="s">
        <v>282</v>
      </c>
      <c r="D447" s="470">
        <f>D448</f>
        <v>695.4</v>
      </c>
      <c r="E447" s="470"/>
      <c r="F447" s="470">
        <f>F448</f>
        <v>695.4</v>
      </c>
      <c r="G447" s="182">
        <f>G448</f>
        <v>0</v>
      </c>
      <c r="H447" s="182"/>
      <c r="I447" s="182">
        <f>I448</f>
        <v>0</v>
      </c>
      <c r="J447" s="182">
        <f>J448</f>
        <v>0</v>
      </c>
      <c r="K447" s="182"/>
      <c r="L447" s="182">
        <f>L448</f>
        <v>0</v>
      </c>
    </row>
    <row r="448" spans="1:12" ht="26.25" x14ac:dyDescent="0.25">
      <c r="A448" s="158"/>
      <c r="B448" s="193" t="s">
        <v>17</v>
      </c>
      <c r="C448" s="194" t="s">
        <v>18</v>
      </c>
      <c r="D448" s="470">
        <v>695.4</v>
      </c>
      <c r="E448" s="470"/>
      <c r="F448" s="470">
        <v>695.4</v>
      </c>
      <c r="G448" s="160">
        <v>0</v>
      </c>
      <c r="H448" s="160"/>
      <c r="I448" s="160">
        <v>0</v>
      </c>
      <c r="J448" s="182">
        <v>0</v>
      </c>
      <c r="K448" s="160"/>
      <c r="L448" s="182">
        <v>0</v>
      </c>
    </row>
    <row r="449" spans="1:14" ht="26.25" x14ac:dyDescent="0.25">
      <c r="A449" s="157" t="s">
        <v>283</v>
      </c>
      <c r="B449" s="193"/>
      <c r="C449" s="194" t="s">
        <v>284</v>
      </c>
      <c r="D449" s="470">
        <f>D450</f>
        <v>15.2</v>
      </c>
      <c r="E449" s="470"/>
      <c r="F449" s="470">
        <f>F450</f>
        <v>15.2</v>
      </c>
      <c r="G449" s="182">
        <f>G450</f>
        <v>15.2</v>
      </c>
      <c r="H449" s="182"/>
      <c r="I449" s="182">
        <f>I450</f>
        <v>15.2</v>
      </c>
      <c r="J449" s="182">
        <f>J450</f>
        <v>15.2</v>
      </c>
      <c r="K449" s="182"/>
      <c r="L449" s="182">
        <f>L450</f>
        <v>15.2</v>
      </c>
    </row>
    <row r="450" spans="1:14" ht="26.25" x14ac:dyDescent="0.25">
      <c r="A450" s="157"/>
      <c r="B450" s="193" t="s">
        <v>64</v>
      </c>
      <c r="C450" s="194" t="s">
        <v>18</v>
      </c>
      <c r="D450" s="470">
        <v>15.2</v>
      </c>
      <c r="E450" s="470"/>
      <c r="F450" s="470">
        <v>15.2</v>
      </c>
      <c r="G450" s="182">
        <v>15.2</v>
      </c>
      <c r="H450" s="182"/>
      <c r="I450" s="182">
        <v>15.2</v>
      </c>
      <c r="J450" s="182">
        <v>15.2</v>
      </c>
      <c r="K450" s="182"/>
      <c r="L450" s="182">
        <v>15.2</v>
      </c>
    </row>
    <row r="451" spans="1:14" ht="26.25" x14ac:dyDescent="0.25">
      <c r="A451" s="157" t="s">
        <v>285</v>
      </c>
      <c r="B451" s="193"/>
      <c r="C451" s="194" t="s">
        <v>286</v>
      </c>
      <c r="D451" s="470">
        <f>D452</f>
        <v>1000</v>
      </c>
      <c r="E451" s="470"/>
      <c r="F451" s="470">
        <f>F452</f>
        <v>1000</v>
      </c>
      <c r="G451" s="182">
        <f>G452</f>
        <v>0</v>
      </c>
      <c r="H451" s="182"/>
      <c r="I451" s="182">
        <f>I452</f>
        <v>0</v>
      </c>
      <c r="J451" s="182">
        <f>J452</f>
        <v>0</v>
      </c>
      <c r="K451" s="182"/>
      <c r="L451" s="182">
        <f>L452</f>
        <v>0</v>
      </c>
    </row>
    <row r="452" spans="1:14" ht="26.25" x14ac:dyDescent="0.25">
      <c r="A452" s="157"/>
      <c r="B452" s="193" t="s">
        <v>17</v>
      </c>
      <c r="C452" s="194" t="s">
        <v>18</v>
      </c>
      <c r="D452" s="470">
        <v>1000</v>
      </c>
      <c r="E452" s="470"/>
      <c r="F452" s="470">
        <v>1000</v>
      </c>
      <c r="G452" s="182">
        <v>0</v>
      </c>
      <c r="H452" s="182"/>
      <c r="I452" s="182">
        <v>0</v>
      </c>
      <c r="J452" s="182">
        <v>0</v>
      </c>
      <c r="K452" s="182"/>
      <c r="L452" s="182">
        <v>0</v>
      </c>
    </row>
    <row r="453" spans="1:14" ht="25.5" x14ac:dyDescent="0.25">
      <c r="A453" s="9" t="s">
        <v>1167</v>
      </c>
      <c r="B453" s="27"/>
      <c r="C453" s="30" t="s">
        <v>1152</v>
      </c>
      <c r="D453" s="470">
        <f>D454</f>
        <v>570</v>
      </c>
      <c r="E453" s="470"/>
      <c r="F453" s="470">
        <f>F454</f>
        <v>570</v>
      </c>
      <c r="G453" s="182">
        <v>0</v>
      </c>
      <c r="H453" s="182"/>
      <c r="I453" s="182">
        <v>0</v>
      </c>
      <c r="J453" s="182">
        <v>0</v>
      </c>
      <c r="K453" s="182"/>
      <c r="L453" s="182">
        <v>0</v>
      </c>
    </row>
    <row r="454" spans="1:14" ht="25.5" x14ac:dyDescent="0.25">
      <c r="A454" s="196"/>
      <c r="B454" s="206" t="s">
        <v>17</v>
      </c>
      <c r="C454" s="188" t="s">
        <v>18</v>
      </c>
      <c r="D454" s="470">
        <v>570</v>
      </c>
      <c r="E454" s="470"/>
      <c r="F454" s="470">
        <f>SUM(D454:E454)</f>
        <v>570</v>
      </c>
      <c r="G454" s="182">
        <v>0</v>
      </c>
      <c r="H454" s="182"/>
      <c r="I454" s="182">
        <v>0</v>
      </c>
      <c r="J454" s="182">
        <v>0</v>
      </c>
      <c r="K454" s="182"/>
      <c r="L454" s="182">
        <v>0</v>
      </c>
    </row>
    <row r="455" spans="1:14" ht="39" x14ac:dyDescent="0.25">
      <c r="A455" s="154" t="s">
        <v>287</v>
      </c>
      <c r="B455" s="154"/>
      <c r="C455" s="197" t="s">
        <v>288</v>
      </c>
      <c r="D455" s="468">
        <f>D456</f>
        <v>11137.599999999999</v>
      </c>
      <c r="E455" s="468">
        <f>E456</f>
        <v>0</v>
      </c>
      <c r="F455" s="468">
        <f>F456</f>
        <v>11137.599999999999</v>
      </c>
      <c r="G455" s="156">
        <f t="shared" ref="G455:L455" si="69">G456</f>
        <v>14026.199999999999</v>
      </c>
      <c r="H455" s="156"/>
      <c r="I455" s="156">
        <f t="shared" si="69"/>
        <v>14026.199999999999</v>
      </c>
      <c r="J455" s="156">
        <f t="shared" si="69"/>
        <v>14026.199999999999</v>
      </c>
      <c r="K455" s="156"/>
      <c r="L455" s="156">
        <f t="shared" si="69"/>
        <v>14026.199999999999</v>
      </c>
    </row>
    <row r="456" spans="1:14" ht="26.25" x14ac:dyDescent="0.25">
      <c r="A456" s="157" t="s">
        <v>289</v>
      </c>
      <c r="B456" s="158"/>
      <c r="C456" s="180" t="s">
        <v>290</v>
      </c>
      <c r="D456" s="469">
        <f>SUM(D457+D458+D460+D459)</f>
        <v>11137.599999999999</v>
      </c>
      <c r="E456" s="469">
        <f>SUM(E457+E458+E460+E459)</f>
        <v>0</v>
      </c>
      <c r="F456" s="469">
        <f>SUM(F457+F458+F460+F459)</f>
        <v>11137.599999999999</v>
      </c>
      <c r="G456" s="160">
        <f>SUM(G457+G458+G460)</f>
        <v>14026.199999999999</v>
      </c>
      <c r="H456" s="160"/>
      <c r="I456" s="160">
        <f>SUM(I457+I458+I460)</f>
        <v>14026.199999999999</v>
      </c>
      <c r="J456" s="160">
        <f>SUM(J457+J458+J460)</f>
        <v>14026.199999999999</v>
      </c>
      <c r="K456" s="160"/>
      <c r="L456" s="160">
        <f>SUM(L457+L458+L460)</f>
        <v>14026.199999999999</v>
      </c>
    </row>
    <row r="457" spans="1:14" ht="51.75" x14ac:dyDescent="0.25">
      <c r="A457" s="158"/>
      <c r="B457" s="157" t="s">
        <v>30</v>
      </c>
      <c r="C457" s="159" t="s">
        <v>450</v>
      </c>
      <c r="D457" s="473">
        <v>4893.3999999999996</v>
      </c>
      <c r="E457" s="473"/>
      <c r="F457" s="473">
        <f>SUM(D457:E457)</f>
        <v>4893.3999999999996</v>
      </c>
      <c r="G457" s="29">
        <v>7175.9</v>
      </c>
      <c r="H457" s="29"/>
      <c r="I457" s="29">
        <v>7175.9</v>
      </c>
      <c r="J457" s="29">
        <v>7175.9</v>
      </c>
      <c r="K457" s="29"/>
      <c r="L457" s="29">
        <v>7175.9</v>
      </c>
    </row>
    <row r="458" spans="1:14" ht="26.25" x14ac:dyDescent="0.25">
      <c r="A458" s="158"/>
      <c r="B458" s="157" t="s">
        <v>17</v>
      </c>
      <c r="C458" s="159" t="s">
        <v>18</v>
      </c>
      <c r="D458" s="470">
        <v>5893.1</v>
      </c>
      <c r="E458" s="470"/>
      <c r="F458" s="470">
        <f>D458+E458</f>
        <v>5893.1</v>
      </c>
      <c r="G458" s="160">
        <v>6793.7</v>
      </c>
      <c r="H458" s="160"/>
      <c r="I458" s="160">
        <v>6793.7</v>
      </c>
      <c r="J458" s="160">
        <v>6793.7</v>
      </c>
      <c r="K458" s="160"/>
      <c r="L458" s="160">
        <v>6793.7</v>
      </c>
    </row>
    <row r="459" spans="1:14" x14ac:dyDescent="0.25">
      <c r="A459" s="158"/>
      <c r="B459" s="27" t="s">
        <v>37</v>
      </c>
      <c r="C459" s="28" t="s">
        <v>38</v>
      </c>
      <c r="D459" s="469">
        <v>109.3</v>
      </c>
      <c r="E459" s="469"/>
      <c r="F459" s="469">
        <f>SUM(D459:E459)</f>
        <v>109.3</v>
      </c>
      <c r="G459" s="160"/>
      <c r="H459" s="160"/>
      <c r="I459" s="160">
        <v>0</v>
      </c>
      <c r="J459" s="160"/>
      <c r="K459" s="160"/>
      <c r="L459" s="160">
        <v>0</v>
      </c>
    </row>
    <row r="460" spans="1:14" x14ac:dyDescent="0.25">
      <c r="A460" s="158"/>
      <c r="B460" s="157" t="s">
        <v>32</v>
      </c>
      <c r="C460" s="159" t="s">
        <v>33</v>
      </c>
      <c r="D460" s="469">
        <v>241.8</v>
      </c>
      <c r="E460" s="469"/>
      <c r="F460" s="469">
        <f>SUM(D460:E460)</f>
        <v>241.8</v>
      </c>
      <c r="G460" s="160">
        <v>56.6</v>
      </c>
      <c r="H460" s="160"/>
      <c r="I460" s="160">
        <v>56.6</v>
      </c>
      <c r="J460" s="160">
        <v>56.6</v>
      </c>
      <c r="K460" s="160"/>
      <c r="L460" s="160">
        <v>56.6</v>
      </c>
    </row>
    <row r="461" spans="1:14" ht="26.25" x14ac:dyDescent="0.25">
      <c r="A461" s="151" t="s">
        <v>291</v>
      </c>
      <c r="B461" s="151"/>
      <c r="C461" s="201" t="s">
        <v>292</v>
      </c>
      <c r="D461" s="467">
        <f>D462+D483+D501+D492</f>
        <v>16260.5</v>
      </c>
      <c r="E461" s="467">
        <f>E462+E483+E501+E492</f>
        <v>-386.97700000000009</v>
      </c>
      <c r="F461" s="467">
        <f>F462+F483+F501+F492</f>
        <v>15873.523000000001</v>
      </c>
      <c r="G461" s="153">
        <f t="shared" ref="G461:L461" si="70">G462+G483+G501</f>
        <v>13137.800000000001</v>
      </c>
      <c r="H461" s="153">
        <f t="shared" si="70"/>
        <v>0</v>
      </c>
      <c r="I461" s="153">
        <f t="shared" si="70"/>
        <v>13137.800000000001</v>
      </c>
      <c r="J461" s="153">
        <f t="shared" si="70"/>
        <v>8926.4</v>
      </c>
      <c r="K461" s="153">
        <f t="shared" si="70"/>
        <v>0</v>
      </c>
      <c r="L461" s="153">
        <f t="shared" si="70"/>
        <v>8926.4</v>
      </c>
    </row>
    <row r="462" spans="1:14" ht="39" x14ac:dyDescent="0.25">
      <c r="A462" s="154" t="s">
        <v>293</v>
      </c>
      <c r="B462" s="154"/>
      <c r="C462" s="197" t="s">
        <v>463</v>
      </c>
      <c r="D462" s="468">
        <f>D463+D469+D473+D477+D465+D479</f>
        <v>4591.8</v>
      </c>
      <c r="E462" s="468">
        <f>E463+E469+E473+E477+E465+E479</f>
        <v>-399.88100000000003</v>
      </c>
      <c r="F462" s="468">
        <f>F463+F469+F473+F477+F465+F479</f>
        <v>4191.9189999999999</v>
      </c>
      <c r="G462" s="156">
        <f t="shared" ref="G462:L462" si="71">G463+G469+G473+G477+G465</f>
        <v>11245.900000000001</v>
      </c>
      <c r="H462" s="156">
        <f t="shared" si="71"/>
        <v>0</v>
      </c>
      <c r="I462" s="156">
        <f t="shared" si="71"/>
        <v>11245.900000000001</v>
      </c>
      <c r="J462" s="156">
        <f t="shared" si="71"/>
        <v>7034.5</v>
      </c>
      <c r="K462" s="156">
        <f t="shared" si="71"/>
        <v>0</v>
      </c>
      <c r="L462" s="156">
        <f t="shared" si="71"/>
        <v>7034.5</v>
      </c>
    </row>
    <row r="463" spans="1:14" ht="26.25" x14ac:dyDescent="0.25">
      <c r="A463" s="449" t="s">
        <v>461</v>
      </c>
      <c r="B463" s="157"/>
      <c r="C463" s="194" t="s">
        <v>470</v>
      </c>
      <c r="D463" s="470">
        <f t="shared" ref="D463:L463" si="72">D464</f>
        <v>3038.9</v>
      </c>
      <c r="E463" s="470">
        <f t="shared" si="72"/>
        <v>-0.04</v>
      </c>
      <c r="F463" s="470">
        <f t="shared" si="72"/>
        <v>3038.86</v>
      </c>
      <c r="G463" s="182">
        <f t="shared" si="72"/>
        <v>454.6</v>
      </c>
      <c r="H463" s="182">
        <f t="shared" si="72"/>
        <v>0</v>
      </c>
      <c r="I463" s="182">
        <f t="shared" si="72"/>
        <v>454.6</v>
      </c>
      <c r="J463" s="160">
        <f t="shared" si="72"/>
        <v>454.6</v>
      </c>
      <c r="K463" s="182">
        <f t="shared" si="72"/>
        <v>0</v>
      </c>
      <c r="L463" s="160">
        <f t="shared" si="72"/>
        <v>454.6</v>
      </c>
      <c r="M463" s="200"/>
      <c r="N463" s="200"/>
    </row>
    <row r="464" spans="1:14" ht="26.25" x14ac:dyDescent="0.25">
      <c r="A464" s="158"/>
      <c r="B464" s="157" t="s">
        <v>17</v>
      </c>
      <c r="C464" s="194" t="s">
        <v>18</v>
      </c>
      <c r="D464" s="470">
        <v>3038.9</v>
      </c>
      <c r="E464" s="470">
        <v>-0.04</v>
      </c>
      <c r="F464" s="470">
        <f>SUM(D464:E464)</f>
        <v>3038.86</v>
      </c>
      <c r="G464" s="182">
        <v>454.6</v>
      </c>
      <c r="H464" s="182"/>
      <c r="I464" s="182">
        <v>454.6</v>
      </c>
      <c r="J464" s="182">
        <v>454.6</v>
      </c>
      <c r="K464" s="182"/>
      <c r="L464" s="182">
        <v>454.6</v>
      </c>
    </row>
    <row r="465" spans="1:12" ht="26.25" x14ac:dyDescent="0.25">
      <c r="A465" s="192" t="s">
        <v>799</v>
      </c>
      <c r="B465" s="157"/>
      <c r="C465" s="159" t="s">
        <v>800</v>
      </c>
      <c r="D465" s="470">
        <v>0</v>
      </c>
      <c r="E465" s="470"/>
      <c r="F465" s="470">
        <v>0</v>
      </c>
      <c r="G465" s="160">
        <f t="shared" ref="G465:L465" si="73">SUM(G466)</f>
        <v>9048.2000000000007</v>
      </c>
      <c r="H465" s="160">
        <f t="shared" si="73"/>
        <v>0</v>
      </c>
      <c r="I465" s="160">
        <f t="shared" si="73"/>
        <v>9048.2000000000007</v>
      </c>
      <c r="J465" s="160">
        <f t="shared" si="73"/>
        <v>6036.8</v>
      </c>
      <c r="K465" s="160">
        <f t="shared" si="73"/>
        <v>0</v>
      </c>
      <c r="L465" s="160">
        <f t="shared" si="73"/>
        <v>6036.8</v>
      </c>
    </row>
    <row r="466" spans="1:12" x14ac:dyDescent="0.25">
      <c r="A466" s="158"/>
      <c r="B466" s="157" t="s">
        <v>32</v>
      </c>
      <c r="C466" s="30" t="s">
        <v>33</v>
      </c>
      <c r="D466" s="470">
        <v>0</v>
      </c>
      <c r="E466" s="470"/>
      <c r="F466" s="470">
        <v>0</v>
      </c>
      <c r="G466" s="160">
        <f t="shared" ref="G466:L466" si="74">G467+G468</f>
        <v>9048.2000000000007</v>
      </c>
      <c r="H466" s="160">
        <f t="shared" si="74"/>
        <v>0</v>
      </c>
      <c r="I466" s="160">
        <f t="shared" si="74"/>
        <v>9048.2000000000007</v>
      </c>
      <c r="J466" s="160">
        <f t="shared" si="74"/>
        <v>6036.8</v>
      </c>
      <c r="K466" s="160">
        <f t="shared" si="74"/>
        <v>0</v>
      </c>
      <c r="L466" s="160">
        <f t="shared" si="74"/>
        <v>6036.8</v>
      </c>
    </row>
    <row r="467" spans="1:12" x14ac:dyDescent="0.25">
      <c r="A467" s="158"/>
      <c r="B467" s="157"/>
      <c r="C467" s="159" t="s">
        <v>255</v>
      </c>
      <c r="D467" s="470">
        <v>0</v>
      </c>
      <c r="E467" s="470"/>
      <c r="F467" s="470">
        <v>0</v>
      </c>
      <c r="G467" s="160">
        <v>4701.3999999999996</v>
      </c>
      <c r="H467" s="160"/>
      <c r="I467" s="160">
        <f>SUM(G467:H467)</f>
        <v>4701.3999999999996</v>
      </c>
      <c r="J467" s="160">
        <v>1937.7</v>
      </c>
      <c r="K467" s="160"/>
      <c r="L467" s="160">
        <f>SUM(J467:K467)</f>
        <v>1937.7</v>
      </c>
    </row>
    <row r="468" spans="1:12" x14ac:dyDescent="0.25">
      <c r="A468" s="158"/>
      <c r="B468" s="157"/>
      <c r="C468" s="159" t="s">
        <v>192</v>
      </c>
      <c r="D468" s="470">
        <v>0</v>
      </c>
      <c r="E468" s="470"/>
      <c r="F468" s="470">
        <v>0</v>
      </c>
      <c r="G468" s="160">
        <v>4346.8</v>
      </c>
      <c r="H468" s="160"/>
      <c r="I468" s="160">
        <v>4346.8</v>
      </c>
      <c r="J468" s="160">
        <v>4099.1000000000004</v>
      </c>
      <c r="K468" s="160"/>
      <c r="L468" s="160">
        <v>4099.1000000000004</v>
      </c>
    </row>
    <row r="469" spans="1:12" ht="26.25" x14ac:dyDescent="0.25">
      <c r="A469" s="157" t="s">
        <v>444</v>
      </c>
      <c r="B469" s="157"/>
      <c r="C469" s="159" t="s">
        <v>448</v>
      </c>
      <c r="D469" s="470">
        <v>400</v>
      </c>
      <c r="E469" s="470">
        <v>-400</v>
      </c>
      <c r="F469" s="470">
        <v>0</v>
      </c>
      <c r="G469" s="160">
        <v>0</v>
      </c>
      <c r="H469" s="160"/>
      <c r="I469" s="160">
        <v>0</v>
      </c>
      <c r="J469" s="160">
        <f>J470</f>
        <v>0</v>
      </c>
      <c r="K469" s="160"/>
      <c r="L469" s="160">
        <f>L470</f>
        <v>0</v>
      </c>
    </row>
    <row r="470" spans="1:12" ht="26.25" x14ac:dyDescent="0.25">
      <c r="A470" s="158"/>
      <c r="B470" s="157" t="s">
        <v>17</v>
      </c>
      <c r="C470" s="159" t="s">
        <v>18</v>
      </c>
      <c r="D470" s="470">
        <v>400</v>
      </c>
      <c r="E470" s="470">
        <v>-400</v>
      </c>
      <c r="F470" s="470">
        <v>0</v>
      </c>
      <c r="G470" s="160">
        <v>0</v>
      </c>
      <c r="H470" s="160"/>
      <c r="I470" s="160">
        <v>0</v>
      </c>
      <c r="J470" s="160">
        <v>0</v>
      </c>
      <c r="K470" s="160"/>
      <c r="L470" s="160">
        <v>0</v>
      </c>
    </row>
    <row r="471" spans="1:12" x14ac:dyDescent="0.25">
      <c r="A471" s="158"/>
      <c r="B471" s="157"/>
      <c r="C471" s="159" t="s">
        <v>255</v>
      </c>
      <c r="D471" s="470">
        <v>380</v>
      </c>
      <c r="E471" s="470">
        <v>-380</v>
      </c>
      <c r="F471" s="470">
        <v>0</v>
      </c>
      <c r="G471" s="160">
        <v>0</v>
      </c>
      <c r="H471" s="160"/>
      <c r="I471" s="160">
        <v>0</v>
      </c>
      <c r="J471" s="160">
        <v>0</v>
      </c>
      <c r="K471" s="160"/>
      <c r="L471" s="160">
        <v>0</v>
      </c>
    </row>
    <row r="472" spans="1:12" x14ac:dyDescent="0.25">
      <c r="A472" s="158"/>
      <c r="B472" s="157"/>
      <c r="C472" s="159" t="s">
        <v>192</v>
      </c>
      <c r="D472" s="470">
        <v>20</v>
      </c>
      <c r="E472" s="470">
        <v>-20</v>
      </c>
      <c r="F472" s="470">
        <v>0</v>
      </c>
      <c r="G472" s="160">
        <v>0</v>
      </c>
      <c r="H472" s="160"/>
      <c r="I472" s="160">
        <v>0</v>
      </c>
      <c r="J472" s="160">
        <v>0</v>
      </c>
      <c r="K472" s="160"/>
      <c r="L472" s="160">
        <v>0</v>
      </c>
    </row>
    <row r="473" spans="1:12" ht="26.25" x14ac:dyDescent="0.25">
      <c r="A473" s="157" t="s">
        <v>445</v>
      </c>
      <c r="B473" s="157"/>
      <c r="C473" s="159" t="s">
        <v>446</v>
      </c>
      <c r="D473" s="469">
        <v>0</v>
      </c>
      <c r="E473" s="469"/>
      <c r="F473" s="469">
        <v>0</v>
      </c>
      <c r="G473" s="160">
        <f>G474</f>
        <v>1200</v>
      </c>
      <c r="H473" s="160"/>
      <c r="I473" s="160">
        <f>I474</f>
        <v>1200</v>
      </c>
      <c r="J473" s="160">
        <v>0</v>
      </c>
      <c r="K473" s="160"/>
      <c r="L473" s="160">
        <v>0</v>
      </c>
    </row>
    <row r="474" spans="1:12" ht="26.25" x14ac:dyDescent="0.25">
      <c r="A474" s="158"/>
      <c r="B474" s="157" t="s">
        <v>17</v>
      </c>
      <c r="C474" s="159" t="s">
        <v>18</v>
      </c>
      <c r="D474" s="469">
        <v>0</v>
      </c>
      <c r="E474" s="469"/>
      <c r="F474" s="469">
        <v>0</v>
      </c>
      <c r="G474" s="160">
        <v>1200</v>
      </c>
      <c r="H474" s="160"/>
      <c r="I474" s="160">
        <v>1200</v>
      </c>
      <c r="J474" s="160">
        <v>0</v>
      </c>
      <c r="K474" s="160"/>
      <c r="L474" s="160">
        <v>0</v>
      </c>
    </row>
    <row r="475" spans="1:12" x14ac:dyDescent="0.25">
      <c r="A475" s="158"/>
      <c r="B475" s="157"/>
      <c r="C475" s="159" t="s">
        <v>255</v>
      </c>
      <c r="D475" s="469">
        <v>0</v>
      </c>
      <c r="E475" s="469"/>
      <c r="F475" s="469">
        <v>0</v>
      </c>
      <c r="G475" s="160">
        <v>1140</v>
      </c>
      <c r="H475" s="160"/>
      <c r="I475" s="160">
        <v>1140</v>
      </c>
      <c r="J475" s="160">
        <v>0</v>
      </c>
      <c r="K475" s="160"/>
      <c r="L475" s="160">
        <v>0</v>
      </c>
    </row>
    <row r="476" spans="1:12" x14ac:dyDescent="0.25">
      <c r="A476" s="158"/>
      <c r="B476" s="157"/>
      <c r="C476" s="159" t="s">
        <v>192</v>
      </c>
      <c r="D476" s="469">
        <v>0</v>
      </c>
      <c r="E476" s="469"/>
      <c r="F476" s="469">
        <v>0</v>
      </c>
      <c r="G476" s="160">
        <v>60</v>
      </c>
      <c r="H476" s="160"/>
      <c r="I476" s="160">
        <v>60</v>
      </c>
      <c r="J476" s="160">
        <v>0</v>
      </c>
      <c r="K476" s="160"/>
      <c r="L476" s="160">
        <v>0</v>
      </c>
    </row>
    <row r="477" spans="1:12" ht="26.25" x14ac:dyDescent="0.25">
      <c r="A477" s="157" t="s">
        <v>792</v>
      </c>
      <c r="B477" s="157"/>
      <c r="C477" s="207" t="s">
        <v>405</v>
      </c>
      <c r="D477" s="469">
        <f>D478</f>
        <v>477.9</v>
      </c>
      <c r="E477" s="469"/>
      <c r="F477" s="469">
        <f>F478</f>
        <v>477.9</v>
      </c>
      <c r="G477" s="160">
        <f>G478</f>
        <v>543.1</v>
      </c>
      <c r="H477" s="160"/>
      <c r="I477" s="160">
        <f>I478</f>
        <v>543.1</v>
      </c>
      <c r="J477" s="160">
        <f>J478</f>
        <v>543.1</v>
      </c>
      <c r="K477" s="160"/>
      <c r="L477" s="160">
        <f>L478</f>
        <v>543.1</v>
      </c>
    </row>
    <row r="478" spans="1:12" ht="25.5" x14ac:dyDescent="0.25">
      <c r="A478" s="158"/>
      <c r="B478" s="157" t="s">
        <v>17</v>
      </c>
      <c r="C478" s="188" t="s">
        <v>18</v>
      </c>
      <c r="D478" s="469">
        <v>477.9</v>
      </c>
      <c r="E478" s="470"/>
      <c r="F478" s="469">
        <f>SUM(D478:E478)</f>
        <v>477.9</v>
      </c>
      <c r="G478" s="160">
        <v>543.1</v>
      </c>
      <c r="H478" s="160"/>
      <c r="I478" s="160">
        <v>543.1</v>
      </c>
      <c r="J478" s="160">
        <v>543.1</v>
      </c>
      <c r="K478" s="160"/>
      <c r="L478" s="160">
        <v>543.1</v>
      </c>
    </row>
    <row r="479" spans="1:12" ht="39" x14ac:dyDescent="0.25">
      <c r="A479" s="192" t="s">
        <v>1060</v>
      </c>
      <c r="B479" s="157"/>
      <c r="C479" s="2" t="s">
        <v>1061</v>
      </c>
      <c r="D479" s="470">
        <f>D480</f>
        <v>675</v>
      </c>
      <c r="E479" s="470">
        <f>E480</f>
        <v>0.159</v>
      </c>
      <c r="F479" s="470">
        <f>F480</f>
        <v>675.15899999999999</v>
      </c>
      <c r="G479" s="160"/>
      <c r="H479" s="160"/>
      <c r="I479" s="160">
        <v>0</v>
      </c>
      <c r="J479" s="160"/>
      <c r="K479" s="160"/>
      <c r="L479" s="160">
        <v>0</v>
      </c>
    </row>
    <row r="480" spans="1:12" ht="26.25" x14ac:dyDescent="0.25">
      <c r="A480" s="158"/>
      <c r="B480" s="157" t="s">
        <v>17</v>
      </c>
      <c r="C480" s="159" t="s">
        <v>18</v>
      </c>
      <c r="D480" s="470">
        <f>D481+D482</f>
        <v>675</v>
      </c>
      <c r="E480" s="469">
        <f>E481+E482</f>
        <v>0.159</v>
      </c>
      <c r="F480" s="470">
        <f>F481+F482</f>
        <v>675.15899999999999</v>
      </c>
      <c r="G480" s="160"/>
      <c r="H480" s="160"/>
      <c r="I480" s="160">
        <v>0</v>
      </c>
      <c r="J480" s="160"/>
      <c r="K480" s="160"/>
      <c r="L480" s="160">
        <v>0</v>
      </c>
    </row>
    <row r="481" spans="1:12" x14ac:dyDescent="0.25">
      <c r="A481" s="158"/>
      <c r="B481" s="157"/>
      <c r="C481" s="159" t="s">
        <v>255</v>
      </c>
      <c r="D481" s="470">
        <v>506.3</v>
      </c>
      <c r="E481" s="470">
        <v>6.9000000000000006E-2</v>
      </c>
      <c r="F481" s="470">
        <f>SUM(D481:E481)</f>
        <v>506.36900000000003</v>
      </c>
      <c r="G481" s="160"/>
      <c r="H481" s="160"/>
      <c r="I481" s="160">
        <v>0</v>
      </c>
      <c r="J481" s="160"/>
      <c r="K481" s="160"/>
      <c r="L481" s="160">
        <v>0</v>
      </c>
    </row>
    <row r="482" spans="1:12" x14ac:dyDescent="0.25">
      <c r="A482" s="158"/>
      <c r="B482" s="157"/>
      <c r="C482" s="159" t="s">
        <v>192</v>
      </c>
      <c r="D482" s="470">
        <v>168.7</v>
      </c>
      <c r="E482" s="470">
        <v>0.09</v>
      </c>
      <c r="F482" s="470">
        <f>SUM(D482:E482)</f>
        <v>168.79</v>
      </c>
      <c r="G482" s="160"/>
      <c r="H482" s="160"/>
      <c r="I482" s="160">
        <v>0</v>
      </c>
      <c r="J482" s="160"/>
      <c r="K482" s="160"/>
      <c r="L482" s="160">
        <v>0</v>
      </c>
    </row>
    <row r="483" spans="1:12" ht="26.25" x14ac:dyDescent="0.25">
      <c r="A483" s="154" t="s">
        <v>476</v>
      </c>
      <c r="B483" s="154"/>
      <c r="C483" s="197" t="s">
        <v>477</v>
      </c>
      <c r="D483" s="468">
        <f>D484+D486+D488</f>
        <v>1731.7999999999997</v>
      </c>
      <c r="E483" s="468">
        <f t="shared" ref="E483:F483" si="75">E484+E486+E488</f>
        <v>6.0000000000000001E-3</v>
      </c>
      <c r="F483" s="468">
        <f t="shared" si="75"/>
        <v>1731.806</v>
      </c>
      <c r="G483" s="156">
        <f>G484</f>
        <v>454.5</v>
      </c>
      <c r="H483" s="156"/>
      <c r="I483" s="156">
        <f>I484</f>
        <v>454.5</v>
      </c>
      <c r="J483" s="156">
        <f>J484</f>
        <v>454.5</v>
      </c>
      <c r="K483" s="156"/>
      <c r="L483" s="156">
        <f>L484</f>
        <v>454.5</v>
      </c>
    </row>
    <row r="484" spans="1:12" ht="25.5" x14ac:dyDescent="0.25">
      <c r="A484" s="157" t="s">
        <v>488</v>
      </c>
      <c r="B484" s="192"/>
      <c r="C484" s="188" t="s">
        <v>468</v>
      </c>
      <c r="D484" s="469">
        <f>D485</f>
        <v>471.9</v>
      </c>
      <c r="E484" s="469">
        <f>E485</f>
        <v>0</v>
      </c>
      <c r="F484" s="469">
        <f>F485</f>
        <v>471.9</v>
      </c>
      <c r="G484" s="160">
        <v>454.5</v>
      </c>
      <c r="H484" s="160"/>
      <c r="I484" s="160">
        <v>454.5</v>
      </c>
      <c r="J484" s="160">
        <v>454.5</v>
      </c>
      <c r="K484" s="160"/>
      <c r="L484" s="160">
        <v>454.5</v>
      </c>
    </row>
    <row r="485" spans="1:12" ht="25.5" x14ac:dyDescent="0.25">
      <c r="A485" s="157"/>
      <c r="B485" s="192" t="s">
        <v>17</v>
      </c>
      <c r="C485" s="188" t="s">
        <v>18</v>
      </c>
      <c r="D485" s="469">
        <v>471.9</v>
      </c>
      <c r="E485" s="469"/>
      <c r="F485" s="469">
        <f>SUM(D485:E485)</f>
        <v>471.9</v>
      </c>
      <c r="G485" s="160">
        <v>454.5</v>
      </c>
      <c r="H485" s="160"/>
      <c r="I485" s="160">
        <v>454.5</v>
      </c>
      <c r="J485" s="160">
        <v>454.5</v>
      </c>
      <c r="K485" s="160"/>
      <c r="L485" s="160">
        <v>454.5</v>
      </c>
    </row>
    <row r="486" spans="1:12" x14ac:dyDescent="0.25">
      <c r="A486" s="157" t="s">
        <v>793</v>
      </c>
      <c r="B486" s="192"/>
      <c r="C486" s="188" t="s">
        <v>1023</v>
      </c>
      <c r="D486" s="469">
        <f>D487</f>
        <v>62.8</v>
      </c>
      <c r="E486" s="469">
        <f>E487</f>
        <v>0</v>
      </c>
      <c r="F486" s="469">
        <f>F487</f>
        <v>62.8</v>
      </c>
      <c r="G486" s="160">
        <v>0</v>
      </c>
      <c r="H486" s="160"/>
      <c r="I486" s="160">
        <v>0</v>
      </c>
      <c r="J486" s="160">
        <v>0</v>
      </c>
      <c r="K486" s="160"/>
      <c r="L486" s="160">
        <v>0</v>
      </c>
    </row>
    <row r="487" spans="1:12" ht="25.5" x14ac:dyDescent="0.25">
      <c r="A487" s="157"/>
      <c r="B487" s="174" t="s">
        <v>17</v>
      </c>
      <c r="C487" s="175" t="s">
        <v>187</v>
      </c>
      <c r="D487" s="469">
        <v>62.8</v>
      </c>
      <c r="E487" s="469"/>
      <c r="F487" s="469">
        <f>SUM(D487:E487)</f>
        <v>62.8</v>
      </c>
      <c r="G487" s="160">
        <v>0</v>
      </c>
      <c r="H487" s="160"/>
      <c r="I487" s="160">
        <v>0</v>
      </c>
      <c r="J487" s="160">
        <v>0</v>
      </c>
      <c r="K487" s="160"/>
      <c r="L487" s="160">
        <v>0</v>
      </c>
    </row>
    <row r="488" spans="1:12" ht="51.75" x14ac:dyDescent="0.25">
      <c r="A488" s="157" t="s">
        <v>1075</v>
      </c>
      <c r="B488" s="192"/>
      <c r="C488" s="6" t="s">
        <v>1074</v>
      </c>
      <c r="D488" s="469">
        <f>D489</f>
        <v>1197.0999999999999</v>
      </c>
      <c r="E488" s="469">
        <f>E489</f>
        <v>6.0000000000000001E-3</v>
      </c>
      <c r="F488" s="469">
        <f>F489</f>
        <v>1197.106</v>
      </c>
      <c r="G488" s="160">
        <v>0</v>
      </c>
      <c r="H488" s="160"/>
      <c r="I488" s="160">
        <v>0</v>
      </c>
      <c r="J488" s="160">
        <v>0</v>
      </c>
      <c r="K488" s="160"/>
      <c r="L488" s="160">
        <v>0</v>
      </c>
    </row>
    <row r="489" spans="1:12" ht="25.5" x14ac:dyDescent="0.25">
      <c r="A489" s="157"/>
      <c r="B489" s="174" t="s">
        <v>186</v>
      </c>
      <c r="C489" s="175" t="s">
        <v>187</v>
      </c>
      <c r="D489" s="470">
        <f>D490+D491</f>
        <v>1197.0999999999999</v>
      </c>
      <c r="E489" s="470">
        <f>E490+E491</f>
        <v>6.0000000000000001E-3</v>
      </c>
      <c r="F489" s="470">
        <f>F490+F491</f>
        <v>1197.106</v>
      </c>
      <c r="G489" s="160">
        <v>0</v>
      </c>
      <c r="H489" s="160"/>
      <c r="I489" s="160">
        <v>0</v>
      </c>
      <c r="J489" s="160">
        <v>0</v>
      </c>
      <c r="K489" s="160"/>
      <c r="L489" s="160">
        <v>0</v>
      </c>
    </row>
    <row r="490" spans="1:12" x14ac:dyDescent="0.25">
      <c r="A490" s="157"/>
      <c r="B490" s="174"/>
      <c r="C490" s="159" t="s">
        <v>255</v>
      </c>
      <c r="D490" s="470">
        <v>1197</v>
      </c>
      <c r="E490" s="470">
        <v>-1.4E-2</v>
      </c>
      <c r="F490" s="470">
        <f>SUM(D490:E490)</f>
        <v>1196.9860000000001</v>
      </c>
      <c r="G490" s="160"/>
      <c r="H490" s="160"/>
      <c r="I490" s="160"/>
      <c r="J490" s="160"/>
      <c r="K490" s="160"/>
      <c r="L490" s="160"/>
    </row>
    <row r="491" spans="1:12" x14ac:dyDescent="0.25">
      <c r="A491" s="157"/>
      <c r="B491" s="174"/>
      <c r="C491" s="207" t="s">
        <v>192</v>
      </c>
      <c r="D491" s="470">
        <v>0.1</v>
      </c>
      <c r="E491" s="470">
        <v>0.02</v>
      </c>
      <c r="F491" s="470">
        <f>SUM(D491:E491)</f>
        <v>0.12000000000000001</v>
      </c>
      <c r="G491" s="160">
        <v>0</v>
      </c>
      <c r="H491" s="160"/>
      <c r="I491" s="160">
        <v>0</v>
      </c>
      <c r="J491" s="160">
        <v>0</v>
      </c>
      <c r="K491" s="160"/>
      <c r="L491" s="160">
        <v>0</v>
      </c>
    </row>
    <row r="492" spans="1:12" ht="25.5" x14ac:dyDescent="0.25">
      <c r="A492" s="412" t="s">
        <v>1136</v>
      </c>
      <c r="B492" s="412"/>
      <c r="C492" s="431" t="s">
        <v>1137</v>
      </c>
      <c r="D492" s="468">
        <f>D497+D493+D495</f>
        <v>1930.5</v>
      </c>
      <c r="E492" s="468">
        <f t="shared" ref="E492:F492" si="76">E497+E493+E495</f>
        <v>-24.202000000000002</v>
      </c>
      <c r="F492" s="468">
        <f t="shared" si="76"/>
        <v>1906.2979999999998</v>
      </c>
      <c r="G492" s="156"/>
      <c r="H492" s="156"/>
      <c r="I492" s="156">
        <v>0</v>
      </c>
      <c r="J492" s="156"/>
      <c r="K492" s="156"/>
      <c r="L492" s="156">
        <v>0</v>
      </c>
    </row>
    <row r="493" spans="1:12" ht="26.25" x14ac:dyDescent="0.25">
      <c r="A493" s="449" t="s">
        <v>1139</v>
      </c>
      <c r="B493" s="174"/>
      <c r="C493" s="207" t="s">
        <v>1175</v>
      </c>
      <c r="D493" s="470">
        <f>D494</f>
        <v>458.4</v>
      </c>
      <c r="E493" s="470"/>
      <c r="F493" s="470">
        <f>F494</f>
        <v>458.4</v>
      </c>
      <c r="G493" s="160"/>
      <c r="H493" s="160"/>
      <c r="I493" s="160">
        <v>0</v>
      </c>
      <c r="J493" s="160"/>
      <c r="K493" s="160"/>
      <c r="L493" s="160">
        <v>0</v>
      </c>
    </row>
    <row r="494" spans="1:12" ht="25.5" x14ac:dyDescent="0.25">
      <c r="A494" s="449"/>
      <c r="B494" s="174" t="s">
        <v>64</v>
      </c>
      <c r="C494" s="28" t="s">
        <v>65</v>
      </c>
      <c r="D494" s="470">
        <v>458.4</v>
      </c>
      <c r="E494" s="470"/>
      <c r="F494" s="470">
        <f>SUM(D494:E494)</f>
        <v>458.4</v>
      </c>
      <c r="G494" s="160"/>
      <c r="H494" s="160"/>
      <c r="I494" s="160">
        <v>0</v>
      </c>
      <c r="J494" s="160"/>
      <c r="K494" s="160"/>
      <c r="L494" s="160">
        <v>0</v>
      </c>
    </row>
    <row r="495" spans="1:12" x14ac:dyDescent="0.25">
      <c r="A495" s="449" t="s">
        <v>1178</v>
      </c>
      <c r="B495" s="174"/>
      <c r="C495" s="207" t="s">
        <v>1177</v>
      </c>
      <c r="D495" s="470">
        <f>D496</f>
        <v>167</v>
      </c>
      <c r="E495" s="470"/>
      <c r="F495" s="470">
        <f>F496</f>
        <v>167</v>
      </c>
      <c r="G495" s="160"/>
      <c r="H495" s="160"/>
      <c r="I495" s="160">
        <v>0</v>
      </c>
      <c r="J495" s="160"/>
      <c r="K495" s="160"/>
      <c r="L495" s="160">
        <v>0</v>
      </c>
    </row>
    <row r="496" spans="1:12" ht="25.5" x14ac:dyDescent="0.25">
      <c r="A496" s="449"/>
      <c r="B496" s="174" t="s">
        <v>64</v>
      </c>
      <c r="C496" s="28" t="s">
        <v>65</v>
      </c>
      <c r="D496" s="470">
        <v>167</v>
      </c>
      <c r="E496" s="470"/>
      <c r="F496" s="470">
        <f>SUM(D496:E496)</f>
        <v>167</v>
      </c>
      <c r="G496" s="160"/>
      <c r="H496" s="160"/>
      <c r="I496" s="160">
        <v>0</v>
      </c>
      <c r="J496" s="160"/>
      <c r="K496" s="160"/>
      <c r="L496" s="160">
        <v>0</v>
      </c>
    </row>
    <row r="497" spans="1:14" ht="25.5" x14ac:dyDescent="0.25">
      <c r="A497" s="449" t="s">
        <v>1155</v>
      </c>
      <c r="B497" s="192"/>
      <c r="C497" s="188" t="s">
        <v>1022</v>
      </c>
      <c r="D497" s="470">
        <f>D498</f>
        <v>1305.0999999999999</v>
      </c>
      <c r="E497" s="470">
        <f>E498</f>
        <v>-24.202000000000002</v>
      </c>
      <c r="F497" s="470">
        <f t="shared" ref="F497" si="77">F498</f>
        <v>1280.8979999999999</v>
      </c>
      <c r="G497" s="160">
        <v>0</v>
      </c>
      <c r="H497" s="160"/>
      <c r="I497" s="160">
        <v>0</v>
      </c>
      <c r="J497" s="160">
        <v>0</v>
      </c>
      <c r="K497" s="160"/>
      <c r="L497" s="160">
        <v>0</v>
      </c>
    </row>
    <row r="498" spans="1:14" ht="25.5" x14ac:dyDescent="0.25">
      <c r="A498" s="157"/>
      <c r="B498" s="174" t="s">
        <v>64</v>
      </c>
      <c r="C498" s="28" t="s">
        <v>65</v>
      </c>
      <c r="D498" s="470">
        <f>D500+D499</f>
        <v>1305.0999999999999</v>
      </c>
      <c r="E498" s="469">
        <f>E499+E500</f>
        <v>-24.202000000000002</v>
      </c>
      <c r="F498" s="470">
        <f>F500+F499</f>
        <v>1280.8979999999999</v>
      </c>
      <c r="G498" s="160">
        <v>0</v>
      </c>
      <c r="H498" s="160"/>
      <c r="I498" s="160">
        <v>0</v>
      </c>
      <c r="J498" s="160">
        <v>0</v>
      </c>
      <c r="K498" s="160"/>
      <c r="L498" s="160">
        <v>0</v>
      </c>
    </row>
    <row r="499" spans="1:14" x14ac:dyDescent="0.25">
      <c r="A499" s="449"/>
      <c r="B499" s="174"/>
      <c r="C499" s="159" t="s">
        <v>255</v>
      </c>
      <c r="D499" s="470">
        <v>1239.8</v>
      </c>
      <c r="E499" s="470">
        <v>-0.05</v>
      </c>
      <c r="F499" s="470">
        <f>SUM(D499:E499)</f>
        <v>1239.75</v>
      </c>
      <c r="G499" s="160"/>
      <c r="H499" s="160"/>
      <c r="I499" s="160"/>
      <c r="J499" s="160"/>
      <c r="K499" s="160"/>
      <c r="L499" s="160"/>
    </row>
    <row r="500" spans="1:14" x14ac:dyDescent="0.25">
      <c r="A500" s="157"/>
      <c r="B500" s="174"/>
      <c r="C500" s="207" t="s">
        <v>192</v>
      </c>
      <c r="D500" s="470">
        <v>65.3</v>
      </c>
      <c r="E500" s="470">
        <v>-24.152000000000001</v>
      </c>
      <c r="F500" s="470">
        <f>SUM(D500:E500)</f>
        <v>41.147999999999996</v>
      </c>
      <c r="G500" s="160">
        <v>0</v>
      </c>
      <c r="H500" s="160"/>
      <c r="I500" s="160">
        <v>0</v>
      </c>
      <c r="J500" s="160">
        <v>0</v>
      </c>
      <c r="K500" s="160"/>
      <c r="L500" s="160">
        <v>0</v>
      </c>
    </row>
    <row r="501" spans="1:14" ht="26.25" x14ac:dyDescent="0.25">
      <c r="A501" s="154" t="s">
        <v>1014</v>
      </c>
      <c r="B501" s="154"/>
      <c r="C501" s="361" t="s">
        <v>1016</v>
      </c>
      <c r="D501" s="468">
        <f>D502+D504</f>
        <v>8006.4</v>
      </c>
      <c r="E501" s="468">
        <f>E502+E504+E506</f>
        <v>37.099999999999994</v>
      </c>
      <c r="F501" s="468">
        <f>F502+F504+F506</f>
        <v>8043.5</v>
      </c>
      <c r="G501" s="156">
        <f>G502</f>
        <v>1437.4</v>
      </c>
      <c r="H501" s="156"/>
      <c r="I501" s="156">
        <f>I502</f>
        <v>1437.4</v>
      </c>
      <c r="J501" s="156">
        <f>J502</f>
        <v>1437.4</v>
      </c>
      <c r="K501" s="156"/>
      <c r="L501" s="156">
        <f>L502</f>
        <v>1437.4</v>
      </c>
    </row>
    <row r="502" spans="1:14" ht="25.5" x14ac:dyDescent="0.25">
      <c r="A502" s="157" t="s">
        <v>1035</v>
      </c>
      <c r="B502" s="157"/>
      <c r="C502" s="264" t="s">
        <v>1015</v>
      </c>
      <c r="D502" s="469">
        <f>D503</f>
        <v>6250.7</v>
      </c>
      <c r="E502" s="469">
        <f>E503</f>
        <v>0</v>
      </c>
      <c r="F502" s="469">
        <f>F503</f>
        <v>6250.7</v>
      </c>
      <c r="G502" s="160">
        <f t="shared" ref="G502:L502" si="78">G503</f>
        <v>1437.4</v>
      </c>
      <c r="H502" s="160"/>
      <c r="I502" s="160">
        <f t="shared" si="78"/>
        <v>1437.4</v>
      </c>
      <c r="J502" s="160">
        <f t="shared" si="78"/>
        <v>1437.4</v>
      </c>
      <c r="K502" s="160"/>
      <c r="L502" s="160">
        <f t="shared" si="78"/>
        <v>1437.4</v>
      </c>
    </row>
    <row r="503" spans="1:14" ht="25.5" x14ac:dyDescent="0.25">
      <c r="A503" s="157"/>
      <c r="B503" s="157" t="s">
        <v>64</v>
      </c>
      <c r="C503" s="28" t="s">
        <v>65</v>
      </c>
      <c r="D503" s="469">
        <v>6250.7</v>
      </c>
      <c r="E503" s="469"/>
      <c r="F503" s="469">
        <f>SUM(D503:E503)</f>
        <v>6250.7</v>
      </c>
      <c r="G503" s="160">
        <v>1437.4</v>
      </c>
      <c r="H503" s="160"/>
      <c r="I503" s="160">
        <v>1437.4</v>
      </c>
      <c r="J503" s="160">
        <v>1437.4</v>
      </c>
      <c r="K503" s="160"/>
      <c r="L503" s="160">
        <v>1437.4</v>
      </c>
    </row>
    <row r="504" spans="1:14" ht="25.5" x14ac:dyDescent="0.25">
      <c r="A504" s="449" t="s">
        <v>1036</v>
      </c>
      <c r="B504" s="157"/>
      <c r="C504" s="264" t="s">
        <v>1025</v>
      </c>
      <c r="D504" s="470">
        <f>D505</f>
        <v>1755.7</v>
      </c>
      <c r="E504" s="470">
        <f>E505</f>
        <v>-2.7</v>
      </c>
      <c r="F504" s="470">
        <f>F505</f>
        <v>1753</v>
      </c>
      <c r="G504" s="160">
        <f t="shared" ref="G504:L504" si="79">G505</f>
        <v>0</v>
      </c>
      <c r="H504" s="160"/>
      <c r="I504" s="160">
        <f t="shared" si="79"/>
        <v>0</v>
      </c>
      <c r="J504" s="160">
        <f t="shared" si="79"/>
        <v>0</v>
      </c>
      <c r="K504" s="160"/>
      <c r="L504" s="160">
        <f t="shared" si="79"/>
        <v>0</v>
      </c>
    </row>
    <row r="505" spans="1:14" ht="25.5" x14ac:dyDescent="0.25">
      <c r="A505" s="157"/>
      <c r="B505" s="157" t="s">
        <v>64</v>
      </c>
      <c r="C505" s="28" t="s">
        <v>65</v>
      </c>
      <c r="D505" s="470">
        <v>1755.7</v>
      </c>
      <c r="E505" s="470">
        <v>-2.7</v>
      </c>
      <c r="F505" s="470">
        <f>SUM(D505:E505)</f>
        <v>1753</v>
      </c>
      <c r="G505" s="160">
        <v>0</v>
      </c>
      <c r="H505" s="160"/>
      <c r="I505" s="160">
        <v>0</v>
      </c>
      <c r="J505" s="160">
        <v>0</v>
      </c>
      <c r="K505" s="160"/>
      <c r="L505" s="160">
        <v>0</v>
      </c>
    </row>
    <row r="506" spans="1:14" ht="25.5" x14ac:dyDescent="0.25">
      <c r="A506" s="520" t="s">
        <v>1213</v>
      </c>
      <c r="B506" s="520"/>
      <c r="C506" s="264" t="s">
        <v>1214</v>
      </c>
      <c r="D506" s="470"/>
      <c r="E506" s="470">
        <f>E507</f>
        <v>39.799999999999997</v>
      </c>
      <c r="F506" s="470">
        <f>F507</f>
        <v>39.799999999999997</v>
      </c>
      <c r="G506" s="160"/>
      <c r="H506" s="160"/>
      <c r="I506" s="160"/>
      <c r="J506" s="160"/>
      <c r="K506" s="160"/>
      <c r="L506" s="160"/>
    </row>
    <row r="507" spans="1:14" ht="25.5" x14ac:dyDescent="0.25">
      <c r="A507" s="520"/>
      <c r="B507" s="520" t="s">
        <v>64</v>
      </c>
      <c r="C507" s="28" t="s">
        <v>65</v>
      </c>
      <c r="D507" s="470"/>
      <c r="E507" s="470">
        <v>39.799999999999997</v>
      </c>
      <c r="F507" s="470">
        <v>39.799999999999997</v>
      </c>
      <c r="G507" s="160"/>
      <c r="H507" s="160"/>
      <c r="I507" s="160"/>
      <c r="J507" s="160"/>
      <c r="K507" s="160"/>
      <c r="L507" s="160"/>
    </row>
    <row r="508" spans="1:14" ht="26.25" x14ac:dyDescent="0.25">
      <c r="A508" s="151" t="s">
        <v>294</v>
      </c>
      <c r="B508" s="151"/>
      <c r="C508" s="201" t="s">
        <v>295</v>
      </c>
      <c r="D508" s="467">
        <f>D512+D518+D509</f>
        <v>8989.0999999999985</v>
      </c>
      <c r="E508" s="467">
        <f>E512+E518+E509</f>
        <v>-9.999999999999995E-3</v>
      </c>
      <c r="F508" s="467">
        <f>F512+F518+F509</f>
        <v>8989.0899999999983</v>
      </c>
      <c r="G508" s="153">
        <f>G512+G518</f>
        <v>9235.5999999999985</v>
      </c>
      <c r="H508" s="153"/>
      <c r="I508" s="153">
        <f>I512+I518</f>
        <v>9235.5999999999985</v>
      </c>
      <c r="J508" s="153">
        <f>J512+J518</f>
        <v>9936.2000000000007</v>
      </c>
      <c r="K508" s="153"/>
      <c r="L508" s="153">
        <f>L512+L518</f>
        <v>9936.2000000000007</v>
      </c>
      <c r="M508" s="200"/>
      <c r="N508" s="200"/>
    </row>
    <row r="509" spans="1:14" s="184" customFormat="1" ht="39" x14ac:dyDescent="0.25">
      <c r="A509" s="430" t="s">
        <v>1133</v>
      </c>
      <c r="B509" s="154"/>
      <c r="C509" s="197" t="s">
        <v>1134</v>
      </c>
      <c r="D509" s="468">
        <f>D510</f>
        <v>20.399999999999999</v>
      </c>
      <c r="E509" s="468">
        <f>E510</f>
        <v>0</v>
      </c>
      <c r="F509" s="468">
        <f>F510</f>
        <v>20.399999999999999</v>
      </c>
      <c r="G509" s="156"/>
      <c r="H509" s="156"/>
      <c r="I509" s="156">
        <v>0</v>
      </c>
      <c r="J509" s="156"/>
      <c r="K509" s="156"/>
      <c r="L509" s="156">
        <v>0</v>
      </c>
      <c r="M509" s="429"/>
      <c r="N509" s="429"/>
    </row>
    <row r="510" spans="1:14" s="184" customFormat="1" ht="26.25" x14ac:dyDescent="0.25">
      <c r="A510" s="27" t="s">
        <v>1132</v>
      </c>
      <c r="B510" s="7"/>
      <c r="C510" s="207" t="s">
        <v>1135</v>
      </c>
      <c r="D510" s="469">
        <v>20.399999999999999</v>
      </c>
      <c r="E510" s="469"/>
      <c r="F510" s="469">
        <v>20.399999999999999</v>
      </c>
      <c r="G510" s="147"/>
      <c r="H510" s="147"/>
      <c r="I510" s="147">
        <v>0</v>
      </c>
      <c r="J510" s="147"/>
      <c r="K510" s="147"/>
      <c r="L510" s="147">
        <v>0</v>
      </c>
      <c r="M510" s="429"/>
      <c r="N510" s="429"/>
    </row>
    <row r="511" spans="1:14" s="184" customFormat="1" ht="25.5" x14ac:dyDescent="0.25">
      <c r="A511" s="7"/>
      <c r="B511" s="27" t="s">
        <v>17</v>
      </c>
      <c r="C511" s="28" t="s">
        <v>18</v>
      </c>
      <c r="D511" s="469">
        <v>20.399999999999999</v>
      </c>
      <c r="E511" s="469"/>
      <c r="F511" s="469">
        <v>20.399999999999999</v>
      </c>
      <c r="G511" s="147"/>
      <c r="H511" s="147"/>
      <c r="I511" s="147">
        <v>0</v>
      </c>
      <c r="J511" s="147"/>
      <c r="K511" s="147"/>
      <c r="L511" s="147">
        <v>0</v>
      </c>
      <c r="M511" s="429"/>
      <c r="N511" s="429"/>
    </row>
    <row r="512" spans="1:14" ht="26.25" x14ac:dyDescent="0.25">
      <c r="A512" s="154" t="s">
        <v>296</v>
      </c>
      <c r="B512" s="154"/>
      <c r="C512" s="197" t="s">
        <v>297</v>
      </c>
      <c r="D512" s="468">
        <f t="shared" ref="D512:L513" si="80">D513</f>
        <v>6638.5999999999995</v>
      </c>
      <c r="E512" s="468">
        <f t="shared" si="80"/>
        <v>3.4000000000000009E-2</v>
      </c>
      <c r="F512" s="468">
        <f t="shared" si="80"/>
        <v>6638.634</v>
      </c>
      <c r="G512" s="156">
        <f t="shared" si="80"/>
        <v>6638.7</v>
      </c>
      <c r="H512" s="156"/>
      <c r="I512" s="156">
        <f t="shared" si="80"/>
        <v>6638.7</v>
      </c>
      <c r="J512" s="156">
        <f t="shared" si="80"/>
        <v>7376.2</v>
      </c>
      <c r="K512" s="156"/>
      <c r="L512" s="156">
        <f t="shared" si="80"/>
        <v>7376.2</v>
      </c>
    </row>
    <row r="513" spans="1:12" ht="26.25" x14ac:dyDescent="0.25">
      <c r="A513" s="157" t="s">
        <v>298</v>
      </c>
      <c r="B513" s="158"/>
      <c r="C513" s="207" t="s">
        <v>1037</v>
      </c>
      <c r="D513" s="469">
        <f t="shared" si="80"/>
        <v>6638.5999999999995</v>
      </c>
      <c r="E513" s="469">
        <f t="shared" si="80"/>
        <v>3.4000000000000009E-2</v>
      </c>
      <c r="F513" s="469">
        <f t="shared" si="80"/>
        <v>6638.634</v>
      </c>
      <c r="G513" s="160">
        <f t="shared" si="80"/>
        <v>6638.7</v>
      </c>
      <c r="H513" s="160"/>
      <c r="I513" s="160">
        <f t="shared" si="80"/>
        <v>6638.7</v>
      </c>
      <c r="J513" s="160">
        <f t="shared" si="80"/>
        <v>7376.2</v>
      </c>
      <c r="K513" s="160"/>
      <c r="L513" s="160">
        <f t="shared" si="80"/>
        <v>7376.2</v>
      </c>
    </row>
    <row r="514" spans="1:12" ht="26.25" x14ac:dyDescent="0.25">
      <c r="A514" s="158"/>
      <c r="B514" s="157" t="s">
        <v>17</v>
      </c>
      <c r="C514" s="159" t="s">
        <v>18</v>
      </c>
      <c r="D514" s="469">
        <f>D515+D516+D517</f>
        <v>6638.5999999999995</v>
      </c>
      <c r="E514" s="469">
        <f>E515+E516+E517</f>
        <v>3.4000000000000009E-2</v>
      </c>
      <c r="F514" s="469">
        <f>F515+F516+F517</f>
        <v>6638.634</v>
      </c>
      <c r="G514" s="160">
        <f>G515+G516+G517</f>
        <v>6638.7</v>
      </c>
      <c r="H514" s="160"/>
      <c r="I514" s="160">
        <f>I515+I516+I517</f>
        <v>6638.7</v>
      </c>
      <c r="J514" s="160">
        <f>J515+J516+J517</f>
        <v>7376.2</v>
      </c>
      <c r="K514" s="160"/>
      <c r="L514" s="160">
        <f>L515+L516+L517</f>
        <v>7376.2</v>
      </c>
    </row>
    <row r="515" spans="1:12" x14ac:dyDescent="0.25">
      <c r="A515" s="157"/>
      <c r="B515" s="158"/>
      <c r="C515" s="207" t="s">
        <v>266</v>
      </c>
      <c r="D515" s="470">
        <v>5676</v>
      </c>
      <c r="E515" s="470">
        <v>3.2000000000000001E-2</v>
      </c>
      <c r="F515" s="470">
        <f t="shared" ref="F515" si="81">SUM(D515:E515)</f>
        <v>5676.0320000000002</v>
      </c>
      <c r="G515" s="160">
        <v>5676.1</v>
      </c>
      <c r="H515" s="160"/>
      <c r="I515" s="160">
        <v>5676.1</v>
      </c>
      <c r="J515" s="160">
        <v>6306.7</v>
      </c>
      <c r="K515" s="160"/>
      <c r="L515" s="160">
        <v>6306.7</v>
      </c>
    </row>
    <row r="516" spans="1:12" x14ac:dyDescent="0.25">
      <c r="A516" s="157"/>
      <c r="B516" s="158"/>
      <c r="C516" s="159" t="s">
        <v>255</v>
      </c>
      <c r="D516" s="470">
        <v>298.7</v>
      </c>
      <c r="E516" s="470">
        <v>3.9E-2</v>
      </c>
      <c r="F516" s="470">
        <f>SUM(D516:E516)</f>
        <v>298.73899999999998</v>
      </c>
      <c r="G516" s="160">
        <v>298.7</v>
      </c>
      <c r="H516" s="160"/>
      <c r="I516" s="160">
        <v>298.7</v>
      </c>
      <c r="J516" s="160">
        <v>331.9</v>
      </c>
      <c r="K516" s="160"/>
      <c r="L516" s="160">
        <v>331.9</v>
      </c>
    </row>
    <row r="517" spans="1:12" x14ac:dyDescent="0.25">
      <c r="A517" s="158"/>
      <c r="B517" s="157"/>
      <c r="C517" s="207" t="s">
        <v>192</v>
      </c>
      <c r="D517" s="470">
        <v>663.9</v>
      </c>
      <c r="E517" s="470">
        <v>-3.6999999999999998E-2</v>
      </c>
      <c r="F517" s="470">
        <f>SUM(D517:E517)</f>
        <v>663.86299999999994</v>
      </c>
      <c r="G517" s="160">
        <v>663.9</v>
      </c>
      <c r="H517" s="160"/>
      <c r="I517" s="160">
        <v>663.9</v>
      </c>
      <c r="J517" s="160">
        <v>737.6</v>
      </c>
      <c r="K517" s="160"/>
      <c r="L517" s="160">
        <v>737.6</v>
      </c>
    </row>
    <row r="518" spans="1:12" ht="26.25" x14ac:dyDescent="0.25">
      <c r="A518" s="154" t="s">
        <v>779</v>
      </c>
      <c r="B518" s="164"/>
      <c r="C518" s="197" t="s">
        <v>297</v>
      </c>
      <c r="D518" s="468">
        <f>SUM(D519)</f>
        <v>2330.1</v>
      </c>
      <c r="E518" s="468">
        <f>SUM(E519)</f>
        <v>-4.4000000000000004E-2</v>
      </c>
      <c r="F518" s="468">
        <f>SUM(F519)</f>
        <v>2330.0559999999996</v>
      </c>
      <c r="G518" s="156">
        <f>SUM(G519)</f>
        <v>2596.8999999999996</v>
      </c>
      <c r="H518" s="156"/>
      <c r="I518" s="156">
        <f>SUM(I519)</f>
        <v>2596.8999999999996</v>
      </c>
      <c r="J518" s="156">
        <f>SUM(J519)</f>
        <v>2560</v>
      </c>
      <c r="K518" s="156"/>
      <c r="L518" s="156">
        <f>SUM(L519)</f>
        <v>2560</v>
      </c>
    </row>
    <row r="519" spans="1:12" ht="39" x14ac:dyDescent="0.25">
      <c r="A519" s="157" t="s">
        <v>780</v>
      </c>
      <c r="B519" s="158"/>
      <c r="C519" s="207" t="s">
        <v>781</v>
      </c>
      <c r="D519" s="469">
        <f>D520</f>
        <v>2330.1</v>
      </c>
      <c r="E519" s="469">
        <f>E520</f>
        <v>-4.4000000000000004E-2</v>
      </c>
      <c r="F519" s="469">
        <f>F520</f>
        <v>2330.0559999999996</v>
      </c>
      <c r="G519" s="160">
        <f>G520</f>
        <v>2596.8999999999996</v>
      </c>
      <c r="H519" s="160"/>
      <c r="I519" s="160">
        <f>I520</f>
        <v>2596.8999999999996</v>
      </c>
      <c r="J519" s="160">
        <f>J520</f>
        <v>2560</v>
      </c>
      <c r="K519" s="160"/>
      <c r="L519" s="160">
        <f>L520</f>
        <v>2560</v>
      </c>
    </row>
    <row r="520" spans="1:12" ht="26.25" x14ac:dyDescent="0.25">
      <c r="A520" s="158"/>
      <c r="B520" s="157" t="s">
        <v>17</v>
      </c>
      <c r="C520" s="159" t="s">
        <v>18</v>
      </c>
      <c r="D520" s="469">
        <f>D521+D522</f>
        <v>2330.1</v>
      </c>
      <c r="E520" s="469">
        <f>E521+E522</f>
        <v>-4.4000000000000004E-2</v>
      </c>
      <c r="F520" s="469">
        <f>F521+F522</f>
        <v>2330.0559999999996</v>
      </c>
      <c r="G520" s="160">
        <f>G521+G522</f>
        <v>2596.8999999999996</v>
      </c>
      <c r="H520" s="160"/>
      <c r="I520" s="160">
        <f>I521+I522</f>
        <v>2596.8999999999996</v>
      </c>
      <c r="J520" s="160">
        <f>J521+J522</f>
        <v>2560</v>
      </c>
      <c r="K520" s="160"/>
      <c r="L520" s="160">
        <f>L521+L522</f>
        <v>2560</v>
      </c>
    </row>
    <row r="521" spans="1:12" x14ac:dyDescent="0.25">
      <c r="A521" s="157"/>
      <c r="B521" s="158"/>
      <c r="C521" s="159" t="s">
        <v>255</v>
      </c>
      <c r="D521" s="470">
        <v>2097.1</v>
      </c>
      <c r="E521" s="470">
        <v>-0.05</v>
      </c>
      <c r="F521" s="470">
        <f>SUM(D521:E521)</f>
        <v>2097.0499999999997</v>
      </c>
      <c r="G521" s="160">
        <v>2337.1999999999998</v>
      </c>
      <c r="H521" s="160"/>
      <c r="I521" s="160">
        <v>2337.1999999999998</v>
      </c>
      <c r="J521" s="160">
        <v>2304</v>
      </c>
      <c r="K521" s="160"/>
      <c r="L521" s="160">
        <v>2304</v>
      </c>
    </row>
    <row r="522" spans="1:12" x14ac:dyDescent="0.25">
      <c r="A522" s="158"/>
      <c r="B522" s="157"/>
      <c r="C522" s="207" t="s">
        <v>192</v>
      </c>
      <c r="D522" s="470">
        <v>233</v>
      </c>
      <c r="E522" s="470">
        <v>6.0000000000000001E-3</v>
      </c>
      <c r="F522" s="470">
        <f>SUM(D522:E522)</f>
        <v>233.006</v>
      </c>
      <c r="G522" s="160">
        <v>259.7</v>
      </c>
      <c r="H522" s="160"/>
      <c r="I522" s="160">
        <v>259.7</v>
      </c>
      <c r="J522" s="160">
        <v>256</v>
      </c>
      <c r="K522" s="160"/>
      <c r="L522" s="160">
        <v>256</v>
      </c>
    </row>
    <row r="523" spans="1:12" ht="26.25" x14ac:dyDescent="0.25">
      <c r="A523" s="148" t="s">
        <v>299</v>
      </c>
      <c r="B523" s="148"/>
      <c r="C523" s="166" t="s">
        <v>300</v>
      </c>
      <c r="D523" s="448">
        <f>D524+D544+D548</f>
        <v>99574.5</v>
      </c>
      <c r="E523" s="448">
        <f>E524+E544+E548</f>
        <v>-4209.0690000000004</v>
      </c>
      <c r="F523" s="448">
        <f>F524+F544+F548</f>
        <v>95365.430999999982</v>
      </c>
      <c r="G523" s="150">
        <f>G524+G544+G548</f>
        <v>49798.700000000004</v>
      </c>
      <c r="H523" s="150"/>
      <c r="I523" s="150">
        <f>I524+I544+I548</f>
        <v>49798.700000000004</v>
      </c>
      <c r="J523" s="150">
        <f>J524+J544+J548</f>
        <v>51741.500000000007</v>
      </c>
      <c r="K523" s="150"/>
      <c r="L523" s="150">
        <f>L524+L544+L548</f>
        <v>51741.500000000007</v>
      </c>
    </row>
    <row r="524" spans="1:12" ht="26.25" x14ac:dyDescent="0.25">
      <c r="A524" s="151" t="s">
        <v>301</v>
      </c>
      <c r="B524" s="151"/>
      <c r="C524" s="152" t="s">
        <v>302</v>
      </c>
      <c r="D524" s="467">
        <f>D525+D528+D541</f>
        <v>96136.1</v>
      </c>
      <c r="E524" s="467">
        <f t="shared" ref="E524:L524" si="82">E525+E528+E541</f>
        <v>-4209.0690000000004</v>
      </c>
      <c r="F524" s="467">
        <f t="shared" si="82"/>
        <v>91927.030999999988</v>
      </c>
      <c r="G524" s="153">
        <f t="shared" si="82"/>
        <v>46927.8</v>
      </c>
      <c r="H524" s="153"/>
      <c r="I524" s="153">
        <f t="shared" si="82"/>
        <v>46927.8</v>
      </c>
      <c r="J524" s="153">
        <f t="shared" si="82"/>
        <v>48870.600000000006</v>
      </c>
      <c r="K524" s="153"/>
      <c r="L524" s="153">
        <f t="shared" si="82"/>
        <v>48870.600000000006</v>
      </c>
    </row>
    <row r="525" spans="1:12" x14ac:dyDescent="0.25">
      <c r="A525" s="154" t="s">
        <v>303</v>
      </c>
      <c r="B525" s="154"/>
      <c r="C525" s="155" t="s">
        <v>304</v>
      </c>
      <c r="D525" s="468">
        <f t="shared" ref="D525:L526" si="83">D526</f>
        <v>500</v>
      </c>
      <c r="E525" s="468"/>
      <c r="F525" s="468">
        <f t="shared" si="83"/>
        <v>500</v>
      </c>
      <c r="G525" s="156">
        <f t="shared" si="83"/>
        <v>500</v>
      </c>
      <c r="H525" s="156"/>
      <c r="I525" s="156">
        <f t="shared" si="83"/>
        <v>500</v>
      </c>
      <c r="J525" s="156">
        <f t="shared" si="83"/>
        <v>500</v>
      </c>
      <c r="K525" s="156"/>
      <c r="L525" s="156">
        <f t="shared" si="83"/>
        <v>500</v>
      </c>
    </row>
    <row r="526" spans="1:12" x14ac:dyDescent="0.25">
      <c r="A526" s="157" t="s">
        <v>305</v>
      </c>
      <c r="B526" s="158"/>
      <c r="C526" s="159" t="s">
        <v>306</v>
      </c>
      <c r="D526" s="469">
        <f t="shared" si="83"/>
        <v>500</v>
      </c>
      <c r="E526" s="469"/>
      <c r="F526" s="469">
        <f t="shared" si="83"/>
        <v>500</v>
      </c>
      <c r="G526" s="160">
        <f t="shared" si="83"/>
        <v>500</v>
      </c>
      <c r="H526" s="160"/>
      <c r="I526" s="160">
        <f t="shared" si="83"/>
        <v>500</v>
      </c>
      <c r="J526" s="160">
        <f t="shared" si="83"/>
        <v>500</v>
      </c>
      <c r="K526" s="160"/>
      <c r="L526" s="160">
        <f t="shared" si="83"/>
        <v>500</v>
      </c>
    </row>
    <row r="527" spans="1:12" ht="26.25" x14ac:dyDescent="0.25">
      <c r="A527" s="157"/>
      <c r="B527" s="157" t="s">
        <v>17</v>
      </c>
      <c r="C527" s="159" t="s">
        <v>18</v>
      </c>
      <c r="D527" s="470">
        <v>500</v>
      </c>
      <c r="E527" s="470"/>
      <c r="F527" s="470">
        <v>500</v>
      </c>
      <c r="G527" s="160">
        <v>500</v>
      </c>
      <c r="H527" s="160"/>
      <c r="I527" s="160">
        <v>500</v>
      </c>
      <c r="J527" s="160">
        <v>500</v>
      </c>
      <c r="K527" s="160"/>
      <c r="L527" s="160">
        <v>500</v>
      </c>
    </row>
    <row r="528" spans="1:12" ht="26.25" x14ac:dyDescent="0.25">
      <c r="A528" s="154" t="s">
        <v>307</v>
      </c>
      <c r="B528" s="154"/>
      <c r="C528" s="155" t="s">
        <v>308</v>
      </c>
      <c r="D528" s="468">
        <f>D529+D533+D535+D537</f>
        <v>69892.200000000012</v>
      </c>
      <c r="E528" s="468">
        <f>E530+E537+E539</f>
        <v>-4209.0690000000004</v>
      </c>
      <c r="F528" s="468">
        <f>F529+F533+F535+F537+F539</f>
        <v>65683.130999999994</v>
      </c>
      <c r="G528" s="156">
        <f>G529+G533</f>
        <v>20083.900000000001</v>
      </c>
      <c r="H528" s="156"/>
      <c r="I528" s="156">
        <f>I529+I533</f>
        <v>20083.900000000001</v>
      </c>
      <c r="J528" s="156">
        <f>J529+J533</f>
        <v>22026.7</v>
      </c>
      <c r="K528" s="156"/>
      <c r="L528" s="156">
        <f>L529+L533</f>
        <v>22026.7</v>
      </c>
    </row>
    <row r="529" spans="1:12" x14ac:dyDescent="0.25">
      <c r="A529" s="449" t="s">
        <v>309</v>
      </c>
      <c r="B529" s="158"/>
      <c r="C529" s="159" t="s">
        <v>310</v>
      </c>
      <c r="D529" s="470">
        <f>D530</f>
        <v>64189.200000000004</v>
      </c>
      <c r="E529" s="470">
        <f>E530</f>
        <v>-4530.8990000000003</v>
      </c>
      <c r="F529" s="470">
        <f>F530</f>
        <v>59658.300999999999</v>
      </c>
      <c r="G529" s="160">
        <f>G530</f>
        <v>20083.900000000001</v>
      </c>
      <c r="H529" s="160"/>
      <c r="I529" s="160">
        <f>I530</f>
        <v>20083.900000000001</v>
      </c>
      <c r="J529" s="160">
        <f>J530</f>
        <v>22026.7</v>
      </c>
      <c r="K529" s="160"/>
      <c r="L529" s="160">
        <f>L530</f>
        <v>22026.7</v>
      </c>
    </row>
    <row r="530" spans="1:12" ht="26.25" x14ac:dyDescent="0.25">
      <c r="A530" s="157"/>
      <c r="B530" s="157" t="s">
        <v>17</v>
      </c>
      <c r="C530" s="159" t="s">
        <v>18</v>
      </c>
      <c r="D530" s="470">
        <f>D531+D532</f>
        <v>64189.200000000004</v>
      </c>
      <c r="E530" s="470">
        <f>E532+E531</f>
        <v>-4530.8990000000003</v>
      </c>
      <c r="F530" s="470">
        <f>F531+F532</f>
        <v>59658.300999999999</v>
      </c>
      <c r="G530" s="160">
        <f>G531+G532</f>
        <v>20083.900000000001</v>
      </c>
      <c r="H530" s="160"/>
      <c r="I530" s="160">
        <f>I531+I532</f>
        <v>20083.900000000001</v>
      </c>
      <c r="J530" s="160">
        <f>J531+J532</f>
        <v>22026.7</v>
      </c>
      <c r="K530" s="160"/>
      <c r="L530" s="160">
        <f>L531+L532</f>
        <v>22026.7</v>
      </c>
    </row>
    <row r="531" spans="1:12" x14ac:dyDescent="0.25">
      <c r="A531" s="157"/>
      <c r="B531" s="157"/>
      <c r="C531" s="159" t="s">
        <v>87</v>
      </c>
      <c r="D531" s="470">
        <v>57770.3</v>
      </c>
      <c r="E531" s="470">
        <v>-4209.0910000000003</v>
      </c>
      <c r="F531" s="470">
        <f>SUM(D531:E531)</f>
        <v>53561.209000000003</v>
      </c>
      <c r="G531" s="160">
        <v>18075.5</v>
      </c>
      <c r="H531" s="160"/>
      <c r="I531" s="160">
        <v>18075.5</v>
      </c>
      <c r="J531" s="160">
        <v>19824</v>
      </c>
      <c r="K531" s="160"/>
      <c r="L531" s="160">
        <v>19824</v>
      </c>
    </row>
    <row r="532" spans="1:12" x14ac:dyDescent="0.25">
      <c r="A532" s="157"/>
      <c r="B532" s="157"/>
      <c r="C532" s="159" t="s">
        <v>146</v>
      </c>
      <c r="D532" s="470">
        <v>6418.9</v>
      </c>
      <c r="E532" s="473">
        <f>0.022-467.679+145.849</f>
        <v>-321.80799999999999</v>
      </c>
      <c r="F532" s="470">
        <f>SUM(D532:E532)</f>
        <v>6097.0919999999996</v>
      </c>
      <c r="G532" s="160">
        <v>2008.4</v>
      </c>
      <c r="H532" s="160"/>
      <c r="I532" s="160">
        <v>2008.4</v>
      </c>
      <c r="J532" s="160">
        <v>2202.6999999999998</v>
      </c>
      <c r="K532" s="160"/>
      <c r="L532" s="160">
        <v>2202.6999999999998</v>
      </c>
    </row>
    <row r="533" spans="1:12" x14ac:dyDescent="0.25">
      <c r="A533" s="157" t="s">
        <v>311</v>
      </c>
      <c r="B533" s="158"/>
      <c r="C533" s="159" t="s">
        <v>312</v>
      </c>
      <c r="D533" s="470">
        <f>D534</f>
        <v>4083</v>
      </c>
      <c r="E533" s="470"/>
      <c r="F533" s="470">
        <f>F534</f>
        <v>4083</v>
      </c>
      <c r="G533" s="160">
        <f>G534</f>
        <v>0</v>
      </c>
      <c r="H533" s="160"/>
      <c r="I533" s="160">
        <f>I534</f>
        <v>0</v>
      </c>
      <c r="J533" s="160">
        <f>J534</f>
        <v>0</v>
      </c>
      <c r="K533" s="160"/>
      <c r="L533" s="160">
        <f>L534</f>
        <v>0</v>
      </c>
    </row>
    <row r="534" spans="1:12" ht="25.5" customHeight="1" x14ac:dyDescent="0.25">
      <c r="A534" s="157"/>
      <c r="B534" s="157" t="s">
        <v>17</v>
      </c>
      <c r="C534" s="159" t="s">
        <v>18</v>
      </c>
      <c r="D534" s="470">
        <v>4083</v>
      </c>
      <c r="E534" s="470"/>
      <c r="F534" s="470">
        <v>4083</v>
      </c>
      <c r="G534" s="160">
        <v>0</v>
      </c>
      <c r="H534" s="160"/>
      <c r="I534" s="160">
        <v>0</v>
      </c>
      <c r="J534" s="160">
        <v>0</v>
      </c>
      <c r="K534" s="160"/>
      <c r="L534" s="160">
        <v>0</v>
      </c>
    </row>
    <row r="535" spans="1:12" ht="24.75" customHeight="1" x14ac:dyDescent="0.25">
      <c r="A535" s="46" t="s">
        <v>1079</v>
      </c>
      <c r="B535" s="46"/>
      <c r="C535" s="47" t="s">
        <v>1080</v>
      </c>
      <c r="D535" s="470">
        <v>450</v>
      </c>
      <c r="E535" s="470"/>
      <c r="F535" s="470">
        <f>F536</f>
        <v>450</v>
      </c>
      <c r="G535" s="160"/>
      <c r="H535" s="160"/>
      <c r="I535" s="160">
        <v>0</v>
      </c>
      <c r="J535" s="160"/>
      <c r="K535" s="160"/>
      <c r="L535" s="160">
        <v>0</v>
      </c>
    </row>
    <row r="536" spans="1:12" ht="28.5" customHeight="1" x14ac:dyDescent="0.25">
      <c r="A536" s="46"/>
      <c r="B536" s="46" t="s">
        <v>17</v>
      </c>
      <c r="C536" s="47" t="s">
        <v>18</v>
      </c>
      <c r="D536" s="470">
        <v>450</v>
      </c>
      <c r="E536" s="470"/>
      <c r="F536" s="470">
        <v>450</v>
      </c>
      <c r="G536" s="160"/>
      <c r="H536" s="160"/>
      <c r="I536" s="160">
        <v>0</v>
      </c>
      <c r="J536" s="160"/>
      <c r="K536" s="160"/>
      <c r="L536" s="160">
        <v>0</v>
      </c>
    </row>
    <row r="537" spans="1:12" ht="44.25" customHeight="1" x14ac:dyDescent="0.25">
      <c r="A537" s="46" t="s">
        <v>1196</v>
      </c>
      <c r="B537" s="46"/>
      <c r="C537" s="47" t="s">
        <v>1197</v>
      </c>
      <c r="D537" s="470">
        <f>D538</f>
        <v>1170</v>
      </c>
      <c r="E537" s="470"/>
      <c r="F537" s="470">
        <f>F538</f>
        <v>1170</v>
      </c>
      <c r="G537" s="160"/>
      <c r="H537" s="160"/>
      <c r="I537" s="160">
        <v>0</v>
      </c>
      <c r="J537" s="160"/>
      <c r="K537" s="160"/>
      <c r="L537" s="160">
        <v>0</v>
      </c>
    </row>
    <row r="538" spans="1:12" ht="28.5" customHeight="1" x14ac:dyDescent="0.25">
      <c r="A538" s="46"/>
      <c r="B538" s="46" t="s">
        <v>17</v>
      </c>
      <c r="C538" s="47" t="s">
        <v>18</v>
      </c>
      <c r="D538" s="470">
        <v>1170</v>
      </c>
      <c r="E538" s="470"/>
      <c r="F538" s="470">
        <v>1170</v>
      </c>
      <c r="G538" s="160"/>
      <c r="H538" s="160"/>
      <c r="I538" s="160">
        <v>0</v>
      </c>
      <c r="J538" s="160"/>
      <c r="K538" s="160"/>
      <c r="L538" s="160">
        <v>0</v>
      </c>
    </row>
    <row r="539" spans="1:12" ht="28.5" customHeight="1" x14ac:dyDescent="0.25">
      <c r="A539" s="248" t="s">
        <v>1303</v>
      </c>
      <c r="B539" s="46"/>
      <c r="C539" s="47" t="s">
        <v>1302</v>
      </c>
      <c r="D539" s="470"/>
      <c r="E539" s="470">
        <f>E540</f>
        <v>321.83</v>
      </c>
      <c r="F539" s="470">
        <f>F540</f>
        <v>321.83</v>
      </c>
      <c r="G539" s="160"/>
      <c r="H539" s="160"/>
      <c r="I539" s="160"/>
      <c r="J539" s="160"/>
      <c r="K539" s="160"/>
      <c r="L539" s="160"/>
    </row>
    <row r="540" spans="1:12" ht="28.5" customHeight="1" x14ac:dyDescent="0.25">
      <c r="A540" s="46"/>
      <c r="B540" s="46" t="s">
        <v>17</v>
      </c>
      <c r="C540" s="47" t="s">
        <v>18</v>
      </c>
      <c r="D540" s="470"/>
      <c r="E540" s="470">
        <v>321.83</v>
      </c>
      <c r="F540" s="470">
        <f>E540</f>
        <v>321.83</v>
      </c>
      <c r="G540" s="160"/>
      <c r="H540" s="160"/>
      <c r="I540" s="160"/>
      <c r="J540" s="160"/>
      <c r="K540" s="160"/>
      <c r="L540" s="160"/>
    </row>
    <row r="541" spans="1:12" x14ac:dyDescent="0.25">
      <c r="A541" s="154" t="s">
        <v>313</v>
      </c>
      <c r="B541" s="154"/>
      <c r="C541" s="155" t="s">
        <v>314</v>
      </c>
      <c r="D541" s="468">
        <f t="shared" ref="D541:L542" si="84">D542</f>
        <v>25743.9</v>
      </c>
      <c r="E541" s="468"/>
      <c r="F541" s="468">
        <f t="shared" si="84"/>
        <v>25743.9</v>
      </c>
      <c r="G541" s="156">
        <f t="shared" si="84"/>
        <v>26343.9</v>
      </c>
      <c r="H541" s="156"/>
      <c r="I541" s="156">
        <f t="shared" si="84"/>
        <v>26343.9</v>
      </c>
      <c r="J541" s="156">
        <f t="shared" si="84"/>
        <v>26343.9</v>
      </c>
      <c r="K541" s="156"/>
      <c r="L541" s="156">
        <f t="shared" si="84"/>
        <v>26343.9</v>
      </c>
    </row>
    <row r="542" spans="1:12" x14ac:dyDescent="0.25">
      <c r="A542" s="157" t="s">
        <v>315</v>
      </c>
      <c r="B542" s="158"/>
      <c r="C542" s="159" t="s">
        <v>435</v>
      </c>
      <c r="D542" s="469">
        <f t="shared" si="84"/>
        <v>25743.9</v>
      </c>
      <c r="E542" s="469"/>
      <c r="F542" s="469">
        <f t="shared" si="84"/>
        <v>25743.9</v>
      </c>
      <c r="G542" s="160">
        <f t="shared" si="84"/>
        <v>26343.9</v>
      </c>
      <c r="H542" s="160"/>
      <c r="I542" s="160">
        <f t="shared" si="84"/>
        <v>26343.9</v>
      </c>
      <c r="J542" s="160">
        <f t="shared" si="84"/>
        <v>26343.9</v>
      </c>
      <c r="K542" s="160"/>
      <c r="L542" s="160">
        <f t="shared" si="84"/>
        <v>26343.9</v>
      </c>
    </row>
    <row r="543" spans="1:12" ht="26.25" x14ac:dyDescent="0.25">
      <c r="A543" s="157"/>
      <c r="B543" s="157" t="s">
        <v>17</v>
      </c>
      <c r="C543" s="159" t="s">
        <v>18</v>
      </c>
      <c r="D543" s="469">
        <v>25743.9</v>
      </c>
      <c r="E543" s="469"/>
      <c r="F543" s="469">
        <v>25743.9</v>
      </c>
      <c r="G543" s="160">
        <v>26343.9</v>
      </c>
      <c r="H543" s="160"/>
      <c r="I543" s="160">
        <v>26343.9</v>
      </c>
      <c r="J543" s="160">
        <v>26343.9</v>
      </c>
      <c r="K543" s="160"/>
      <c r="L543" s="160">
        <v>26343.9</v>
      </c>
    </row>
    <row r="544" spans="1:12" ht="26.25" x14ac:dyDescent="0.25">
      <c r="A544" s="151" t="s">
        <v>316</v>
      </c>
      <c r="B544" s="151"/>
      <c r="C544" s="152" t="s">
        <v>317</v>
      </c>
      <c r="D544" s="467">
        <f t="shared" ref="D544:L546" si="85">D545</f>
        <v>3173.9</v>
      </c>
      <c r="E544" s="467">
        <f t="shared" si="85"/>
        <v>0</v>
      </c>
      <c r="F544" s="467">
        <f t="shared" si="85"/>
        <v>3173.9</v>
      </c>
      <c r="G544" s="153">
        <f t="shared" si="85"/>
        <v>2670.9</v>
      </c>
      <c r="H544" s="153"/>
      <c r="I544" s="153">
        <f t="shared" si="85"/>
        <v>2670.9</v>
      </c>
      <c r="J544" s="153">
        <f t="shared" si="85"/>
        <v>2670.9</v>
      </c>
      <c r="K544" s="153"/>
      <c r="L544" s="153">
        <f t="shared" si="85"/>
        <v>2670.9</v>
      </c>
    </row>
    <row r="545" spans="1:12" ht="26.25" x14ac:dyDescent="0.25">
      <c r="A545" s="154" t="s">
        <v>318</v>
      </c>
      <c r="B545" s="154"/>
      <c r="C545" s="155" t="s">
        <v>319</v>
      </c>
      <c r="D545" s="468">
        <f t="shared" si="85"/>
        <v>3173.9</v>
      </c>
      <c r="E545" s="468">
        <f t="shared" si="85"/>
        <v>0</v>
      </c>
      <c r="F545" s="468">
        <f t="shared" si="85"/>
        <v>3173.9</v>
      </c>
      <c r="G545" s="156">
        <f t="shared" si="85"/>
        <v>2670.9</v>
      </c>
      <c r="H545" s="156"/>
      <c r="I545" s="156">
        <f t="shared" si="85"/>
        <v>2670.9</v>
      </c>
      <c r="J545" s="156">
        <f t="shared" si="85"/>
        <v>2670.9</v>
      </c>
      <c r="K545" s="156"/>
      <c r="L545" s="156">
        <f t="shared" si="85"/>
        <v>2670.9</v>
      </c>
    </row>
    <row r="546" spans="1:12" ht="26.25" x14ac:dyDescent="0.25">
      <c r="A546" s="157" t="s">
        <v>431</v>
      </c>
      <c r="B546" s="158"/>
      <c r="C546" s="159" t="s">
        <v>320</v>
      </c>
      <c r="D546" s="469">
        <f t="shared" si="85"/>
        <v>3173.9</v>
      </c>
      <c r="E546" s="469">
        <f t="shared" si="85"/>
        <v>0</v>
      </c>
      <c r="F546" s="469">
        <f t="shared" si="85"/>
        <v>3173.9</v>
      </c>
      <c r="G546" s="160">
        <f t="shared" si="85"/>
        <v>2670.9</v>
      </c>
      <c r="H546" s="160"/>
      <c r="I546" s="160">
        <f t="shared" si="85"/>
        <v>2670.9</v>
      </c>
      <c r="J546" s="160">
        <f t="shared" si="85"/>
        <v>2670.9</v>
      </c>
      <c r="K546" s="160"/>
      <c r="L546" s="160">
        <f t="shared" si="85"/>
        <v>2670.9</v>
      </c>
    </row>
    <row r="547" spans="1:12" ht="26.25" x14ac:dyDescent="0.25">
      <c r="A547" s="157"/>
      <c r="B547" s="157" t="s">
        <v>17</v>
      </c>
      <c r="C547" s="159" t="s">
        <v>18</v>
      </c>
      <c r="D547" s="469">
        <v>3173.9</v>
      </c>
      <c r="E547" s="469"/>
      <c r="F547" s="469">
        <f>SUM(D547:E547)</f>
        <v>3173.9</v>
      </c>
      <c r="G547" s="160">
        <v>2670.9</v>
      </c>
      <c r="H547" s="160"/>
      <c r="I547" s="160">
        <v>2670.9</v>
      </c>
      <c r="J547" s="160">
        <v>2670.9</v>
      </c>
      <c r="K547" s="160"/>
      <c r="L547" s="160">
        <v>2670.9</v>
      </c>
    </row>
    <row r="548" spans="1:12" ht="39" x14ac:dyDescent="0.25">
      <c r="A548" s="151" t="s">
        <v>321</v>
      </c>
      <c r="B548" s="151"/>
      <c r="C548" s="152" t="s">
        <v>322</v>
      </c>
      <c r="D548" s="467">
        <f t="shared" ref="D548:L550" si="86">D549</f>
        <v>264.5</v>
      </c>
      <c r="E548" s="467"/>
      <c r="F548" s="467">
        <f t="shared" si="86"/>
        <v>264.5</v>
      </c>
      <c r="G548" s="153">
        <f t="shared" si="86"/>
        <v>200</v>
      </c>
      <c r="H548" s="153"/>
      <c r="I548" s="153">
        <f t="shared" si="86"/>
        <v>200</v>
      </c>
      <c r="J548" s="153">
        <f t="shared" si="86"/>
        <v>200</v>
      </c>
      <c r="K548" s="153"/>
      <c r="L548" s="153">
        <f t="shared" si="86"/>
        <v>200</v>
      </c>
    </row>
    <row r="549" spans="1:12" ht="39" x14ac:dyDescent="0.25">
      <c r="A549" s="154" t="s">
        <v>323</v>
      </c>
      <c r="B549" s="154"/>
      <c r="C549" s="209" t="s">
        <v>324</v>
      </c>
      <c r="D549" s="468">
        <f t="shared" si="86"/>
        <v>264.5</v>
      </c>
      <c r="E549" s="468"/>
      <c r="F549" s="468">
        <f t="shared" si="86"/>
        <v>264.5</v>
      </c>
      <c r="G549" s="156">
        <f t="shared" si="86"/>
        <v>200</v>
      </c>
      <c r="H549" s="156"/>
      <c r="I549" s="156">
        <f t="shared" si="86"/>
        <v>200</v>
      </c>
      <c r="J549" s="156">
        <f t="shared" si="86"/>
        <v>200</v>
      </c>
      <c r="K549" s="156"/>
      <c r="L549" s="156">
        <f t="shared" si="86"/>
        <v>200</v>
      </c>
    </row>
    <row r="550" spans="1:12" ht="39" x14ac:dyDescent="0.25">
      <c r="A550" s="157" t="s">
        <v>325</v>
      </c>
      <c r="B550" s="157"/>
      <c r="C550" s="205" t="s">
        <v>326</v>
      </c>
      <c r="D550" s="469">
        <f t="shared" si="86"/>
        <v>264.5</v>
      </c>
      <c r="E550" s="469"/>
      <c r="F550" s="469">
        <f t="shared" si="86"/>
        <v>264.5</v>
      </c>
      <c r="G550" s="160">
        <f t="shared" si="86"/>
        <v>200</v>
      </c>
      <c r="H550" s="160"/>
      <c r="I550" s="160">
        <f t="shared" si="86"/>
        <v>200</v>
      </c>
      <c r="J550" s="160">
        <f t="shared" si="86"/>
        <v>200</v>
      </c>
      <c r="K550" s="160"/>
      <c r="L550" s="160">
        <f t="shared" si="86"/>
        <v>200</v>
      </c>
    </row>
    <row r="551" spans="1:12" ht="26.25" x14ac:dyDescent="0.25">
      <c r="A551" s="157"/>
      <c r="B551" s="157" t="s">
        <v>17</v>
      </c>
      <c r="C551" s="159" t="s">
        <v>18</v>
      </c>
      <c r="D551" s="469">
        <v>264.5</v>
      </c>
      <c r="E551" s="469"/>
      <c r="F551" s="469">
        <v>264.5</v>
      </c>
      <c r="G551" s="160">
        <v>200</v>
      </c>
      <c r="H551" s="160"/>
      <c r="I551" s="160">
        <v>200</v>
      </c>
      <c r="J551" s="160">
        <v>200</v>
      </c>
      <c r="K551" s="160"/>
      <c r="L551" s="160">
        <v>200</v>
      </c>
    </row>
    <row r="552" spans="1:12" ht="26.25" x14ac:dyDescent="0.25">
      <c r="A552" s="148" t="s">
        <v>327</v>
      </c>
      <c r="B552" s="210"/>
      <c r="C552" s="166" t="s">
        <v>328</v>
      </c>
      <c r="D552" s="448">
        <f>D553+D556</f>
        <v>170</v>
      </c>
      <c r="E552" s="448"/>
      <c r="F552" s="448">
        <f>F553+F556</f>
        <v>170</v>
      </c>
      <c r="G552" s="150">
        <f>G553+G556</f>
        <v>230</v>
      </c>
      <c r="H552" s="150"/>
      <c r="I552" s="150">
        <f>I553+I556</f>
        <v>230</v>
      </c>
      <c r="J552" s="150">
        <f>J553+J556</f>
        <v>230</v>
      </c>
      <c r="K552" s="150"/>
      <c r="L552" s="150">
        <f>L553+L556</f>
        <v>230</v>
      </c>
    </row>
    <row r="553" spans="1:12" ht="26.25" x14ac:dyDescent="0.25">
      <c r="A553" s="154" t="s">
        <v>329</v>
      </c>
      <c r="B553" s="164"/>
      <c r="C553" s="155" t="s">
        <v>330</v>
      </c>
      <c r="D553" s="468">
        <f t="shared" ref="D553:L554" si="87">D554</f>
        <v>70</v>
      </c>
      <c r="E553" s="468"/>
      <c r="F553" s="468">
        <f t="shared" si="87"/>
        <v>70</v>
      </c>
      <c r="G553" s="156">
        <f t="shared" si="87"/>
        <v>70</v>
      </c>
      <c r="H553" s="156"/>
      <c r="I553" s="156">
        <f t="shared" si="87"/>
        <v>70</v>
      </c>
      <c r="J553" s="156">
        <f t="shared" si="87"/>
        <v>70</v>
      </c>
      <c r="K553" s="156"/>
      <c r="L553" s="156">
        <f t="shared" si="87"/>
        <v>70</v>
      </c>
    </row>
    <row r="554" spans="1:12" x14ac:dyDescent="0.25">
      <c r="A554" s="157" t="s">
        <v>331</v>
      </c>
      <c r="B554" s="157"/>
      <c r="C554" s="159" t="s">
        <v>439</v>
      </c>
      <c r="D554" s="469">
        <f t="shared" si="87"/>
        <v>70</v>
      </c>
      <c r="E554" s="469"/>
      <c r="F554" s="469">
        <f t="shared" si="87"/>
        <v>70</v>
      </c>
      <c r="G554" s="160">
        <f t="shared" si="87"/>
        <v>70</v>
      </c>
      <c r="H554" s="160"/>
      <c r="I554" s="160">
        <f t="shared" si="87"/>
        <v>70</v>
      </c>
      <c r="J554" s="160">
        <f t="shared" si="87"/>
        <v>70</v>
      </c>
      <c r="K554" s="160"/>
      <c r="L554" s="160">
        <f t="shared" si="87"/>
        <v>70</v>
      </c>
    </row>
    <row r="555" spans="1:12" ht="26.25" x14ac:dyDescent="0.25">
      <c r="A555" s="157"/>
      <c r="B555" s="157" t="s">
        <v>17</v>
      </c>
      <c r="C555" s="159" t="s">
        <v>18</v>
      </c>
      <c r="D555" s="469">
        <v>70</v>
      </c>
      <c r="E555" s="469"/>
      <c r="F555" s="469">
        <v>70</v>
      </c>
      <c r="G555" s="160">
        <v>70</v>
      </c>
      <c r="H555" s="160"/>
      <c r="I555" s="160">
        <v>70</v>
      </c>
      <c r="J555" s="160">
        <v>70</v>
      </c>
      <c r="K555" s="160"/>
      <c r="L555" s="160">
        <v>70</v>
      </c>
    </row>
    <row r="556" spans="1:12" x14ac:dyDescent="0.25">
      <c r="A556" s="154" t="s">
        <v>794</v>
      </c>
      <c r="B556" s="154"/>
      <c r="C556" s="155" t="s">
        <v>332</v>
      </c>
      <c r="D556" s="468">
        <f>D557+D559+D561</f>
        <v>100</v>
      </c>
      <c r="E556" s="468"/>
      <c r="F556" s="468">
        <f>F557+F559+F561</f>
        <v>100</v>
      </c>
      <c r="G556" s="156">
        <f>G557+G559+G561</f>
        <v>160</v>
      </c>
      <c r="H556" s="156"/>
      <c r="I556" s="156">
        <f>I557+I559+I561</f>
        <v>160</v>
      </c>
      <c r="J556" s="156">
        <f>J557+J559+J561</f>
        <v>160</v>
      </c>
      <c r="K556" s="156"/>
      <c r="L556" s="156">
        <f>L557+L559+L561</f>
        <v>160</v>
      </c>
    </row>
    <row r="557" spans="1:12" ht="26.25" x14ac:dyDescent="0.25">
      <c r="A557" s="157" t="s">
        <v>795</v>
      </c>
      <c r="B557" s="158"/>
      <c r="C557" s="180" t="s">
        <v>333</v>
      </c>
      <c r="D557" s="469">
        <f>D558</f>
        <v>70</v>
      </c>
      <c r="E557" s="469"/>
      <c r="F557" s="469">
        <f>F558</f>
        <v>70</v>
      </c>
      <c r="G557" s="160">
        <f>G558</f>
        <v>100</v>
      </c>
      <c r="H557" s="160"/>
      <c r="I557" s="160">
        <f>I558</f>
        <v>100</v>
      </c>
      <c r="J557" s="160">
        <f>J558</f>
        <v>100</v>
      </c>
      <c r="K557" s="160"/>
      <c r="L557" s="160">
        <f>L558</f>
        <v>100</v>
      </c>
    </row>
    <row r="558" spans="1:12" ht="26.25" x14ac:dyDescent="0.25">
      <c r="A558" s="157"/>
      <c r="B558" s="157" t="s">
        <v>17</v>
      </c>
      <c r="C558" s="159" t="s">
        <v>18</v>
      </c>
      <c r="D558" s="469">
        <v>70</v>
      </c>
      <c r="E558" s="469"/>
      <c r="F558" s="469">
        <v>70</v>
      </c>
      <c r="G558" s="160">
        <v>100</v>
      </c>
      <c r="H558" s="160"/>
      <c r="I558" s="160">
        <v>100</v>
      </c>
      <c r="J558" s="160">
        <v>100</v>
      </c>
      <c r="K558" s="160"/>
      <c r="L558" s="160">
        <v>100</v>
      </c>
    </row>
    <row r="559" spans="1:12" x14ac:dyDescent="0.25">
      <c r="A559" s="157" t="s">
        <v>796</v>
      </c>
      <c r="B559" s="157"/>
      <c r="C559" s="211" t="s">
        <v>334</v>
      </c>
      <c r="D559" s="469">
        <f>D560</f>
        <v>0</v>
      </c>
      <c r="E559" s="469"/>
      <c r="F559" s="469">
        <f>F560</f>
        <v>0</v>
      </c>
      <c r="G559" s="160">
        <f>G560</f>
        <v>20</v>
      </c>
      <c r="H559" s="160"/>
      <c r="I559" s="160">
        <f>I560</f>
        <v>20</v>
      </c>
      <c r="J559" s="160">
        <f>J560</f>
        <v>20</v>
      </c>
      <c r="K559" s="160"/>
      <c r="L559" s="160">
        <f>L560</f>
        <v>20</v>
      </c>
    </row>
    <row r="560" spans="1:12" ht="26.25" x14ac:dyDescent="0.25">
      <c r="A560" s="157"/>
      <c r="B560" s="157" t="s">
        <v>17</v>
      </c>
      <c r="C560" s="159" t="s">
        <v>18</v>
      </c>
      <c r="D560" s="469">
        <v>0</v>
      </c>
      <c r="E560" s="469"/>
      <c r="F560" s="469">
        <v>0</v>
      </c>
      <c r="G560" s="160">
        <v>20</v>
      </c>
      <c r="H560" s="160"/>
      <c r="I560" s="160">
        <v>20</v>
      </c>
      <c r="J560" s="160">
        <v>20</v>
      </c>
      <c r="K560" s="160"/>
      <c r="L560" s="160">
        <v>20</v>
      </c>
    </row>
    <row r="561" spans="1:12" ht="26.25" x14ac:dyDescent="0.25">
      <c r="A561" s="157" t="s">
        <v>797</v>
      </c>
      <c r="B561" s="157"/>
      <c r="C561" s="180" t="s">
        <v>335</v>
      </c>
      <c r="D561" s="469">
        <f>D562</f>
        <v>30</v>
      </c>
      <c r="E561" s="469"/>
      <c r="F561" s="469">
        <f>F562</f>
        <v>30</v>
      </c>
      <c r="G561" s="160">
        <f>G562</f>
        <v>40</v>
      </c>
      <c r="H561" s="160"/>
      <c r="I561" s="160">
        <f>I562</f>
        <v>40</v>
      </c>
      <c r="J561" s="160">
        <f>J562</f>
        <v>40</v>
      </c>
      <c r="K561" s="160"/>
      <c r="L561" s="160">
        <f>L562</f>
        <v>40</v>
      </c>
    </row>
    <row r="562" spans="1:12" ht="26.25" x14ac:dyDescent="0.25">
      <c r="A562" s="157"/>
      <c r="B562" s="157" t="s">
        <v>17</v>
      </c>
      <c r="C562" s="159" t="s">
        <v>18</v>
      </c>
      <c r="D562" s="469">
        <v>30</v>
      </c>
      <c r="E562" s="469"/>
      <c r="F562" s="469">
        <v>30</v>
      </c>
      <c r="G562" s="160">
        <v>40</v>
      </c>
      <c r="H562" s="160"/>
      <c r="I562" s="160">
        <v>40</v>
      </c>
      <c r="J562" s="160">
        <v>40</v>
      </c>
      <c r="K562" s="160"/>
      <c r="L562" s="160">
        <v>40</v>
      </c>
    </row>
    <row r="563" spans="1:12" ht="51.75" x14ac:dyDescent="0.25">
      <c r="A563" s="148" t="s">
        <v>336</v>
      </c>
      <c r="B563" s="148"/>
      <c r="C563" s="166" t="s">
        <v>337</v>
      </c>
      <c r="D563" s="448">
        <f>D564+D573+D586</f>
        <v>18898</v>
      </c>
      <c r="E563" s="448">
        <f>E564+E573+E586</f>
        <v>0.05</v>
      </c>
      <c r="F563" s="448">
        <f>F564+F573+F586</f>
        <v>18898.053</v>
      </c>
      <c r="G563" s="150">
        <f>G564+G573+G586</f>
        <v>16126.500000000002</v>
      </c>
      <c r="H563" s="150"/>
      <c r="I563" s="150">
        <f>I564+I573+I586</f>
        <v>16126.500000000002</v>
      </c>
      <c r="J563" s="150">
        <f>J564+J573+J586</f>
        <v>15992.7</v>
      </c>
      <c r="K563" s="150"/>
      <c r="L563" s="150">
        <f>L564+L573+L586</f>
        <v>15992.7</v>
      </c>
    </row>
    <row r="564" spans="1:12" ht="39" x14ac:dyDescent="0.25">
      <c r="A564" s="154" t="s">
        <v>338</v>
      </c>
      <c r="B564" s="154"/>
      <c r="C564" s="197" t="s">
        <v>339</v>
      </c>
      <c r="D564" s="468">
        <f>D565+D567+D569</f>
        <v>14960.4</v>
      </c>
      <c r="E564" s="468">
        <f>E565+E567+E569</f>
        <v>0.05</v>
      </c>
      <c r="F564" s="468">
        <f>F565+F567+F569</f>
        <v>14960.449999999999</v>
      </c>
      <c r="G564" s="156">
        <f>G565+G567+G569</f>
        <v>15007.300000000001</v>
      </c>
      <c r="H564" s="156"/>
      <c r="I564" s="156">
        <f>I565+I567+I569</f>
        <v>15007.300000000001</v>
      </c>
      <c r="J564" s="156">
        <f>J565+J567+J569</f>
        <v>15007.300000000001</v>
      </c>
      <c r="K564" s="156"/>
      <c r="L564" s="156">
        <f>L565+L567+L569</f>
        <v>15007.300000000001</v>
      </c>
    </row>
    <row r="565" spans="1:12" x14ac:dyDescent="0.25">
      <c r="A565" s="157" t="s">
        <v>340</v>
      </c>
      <c r="B565" s="157"/>
      <c r="C565" s="188" t="s">
        <v>457</v>
      </c>
      <c r="D565" s="469">
        <f>D566</f>
        <v>5.7</v>
      </c>
      <c r="E565" s="469">
        <f>E566</f>
        <v>0.05</v>
      </c>
      <c r="F565" s="469">
        <f>F566</f>
        <v>5.75</v>
      </c>
      <c r="G565" s="160">
        <f>G566</f>
        <v>25</v>
      </c>
      <c r="H565" s="160"/>
      <c r="I565" s="160">
        <f>I566</f>
        <v>25</v>
      </c>
      <c r="J565" s="160">
        <f>J566</f>
        <v>25</v>
      </c>
      <c r="K565" s="160"/>
      <c r="L565" s="160">
        <f>L566</f>
        <v>25</v>
      </c>
    </row>
    <row r="566" spans="1:12" ht="26.25" x14ac:dyDescent="0.25">
      <c r="A566" s="157"/>
      <c r="B566" s="157" t="s">
        <v>17</v>
      </c>
      <c r="C566" s="159" t="s">
        <v>18</v>
      </c>
      <c r="D566" s="469">
        <v>5.7</v>
      </c>
      <c r="E566" s="469">
        <v>0.05</v>
      </c>
      <c r="F566" s="469">
        <v>5.75</v>
      </c>
      <c r="G566" s="160">
        <v>25</v>
      </c>
      <c r="H566" s="160"/>
      <c r="I566" s="160">
        <v>25</v>
      </c>
      <c r="J566" s="160">
        <v>25</v>
      </c>
      <c r="K566" s="160"/>
      <c r="L566" s="160">
        <v>25</v>
      </c>
    </row>
    <row r="567" spans="1:12" ht="51.75" x14ac:dyDescent="0.25">
      <c r="A567" s="157" t="s">
        <v>341</v>
      </c>
      <c r="B567" s="157"/>
      <c r="C567" s="162" t="s">
        <v>440</v>
      </c>
      <c r="D567" s="469">
        <f>D568</f>
        <v>104.9</v>
      </c>
      <c r="E567" s="469"/>
      <c r="F567" s="469">
        <f>F568</f>
        <v>104.9</v>
      </c>
      <c r="G567" s="160">
        <f>G568</f>
        <v>70.2</v>
      </c>
      <c r="H567" s="160"/>
      <c r="I567" s="160">
        <f>I568</f>
        <v>70.2</v>
      </c>
      <c r="J567" s="160">
        <f>J568</f>
        <v>70.2</v>
      </c>
      <c r="K567" s="160"/>
      <c r="L567" s="160">
        <f>L568</f>
        <v>70.2</v>
      </c>
    </row>
    <row r="568" spans="1:12" ht="26.25" x14ac:dyDescent="0.25">
      <c r="A568" s="157"/>
      <c r="B568" s="157" t="s">
        <v>17</v>
      </c>
      <c r="C568" s="159" t="s">
        <v>18</v>
      </c>
      <c r="D568" s="469">
        <v>104.9</v>
      </c>
      <c r="E568" s="469"/>
      <c r="F568" s="469">
        <v>104.9</v>
      </c>
      <c r="G568" s="160">
        <v>70.2</v>
      </c>
      <c r="H568" s="160"/>
      <c r="I568" s="160">
        <v>70.2</v>
      </c>
      <c r="J568" s="160">
        <v>70.2</v>
      </c>
      <c r="K568" s="160"/>
      <c r="L568" s="160">
        <v>70.2</v>
      </c>
    </row>
    <row r="569" spans="1:12" ht="26.25" x14ac:dyDescent="0.25">
      <c r="A569" s="157" t="s">
        <v>342</v>
      </c>
      <c r="B569" s="157"/>
      <c r="C569" s="212" t="s">
        <v>845</v>
      </c>
      <c r="D569" s="469">
        <f>SUM(D570+D571)</f>
        <v>14849.8</v>
      </c>
      <c r="E569" s="469">
        <f>SUM(E570+E571)</f>
        <v>0</v>
      </c>
      <c r="F569" s="469">
        <f>SUM(F570+F571)</f>
        <v>14849.8</v>
      </c>
      <c r="G569" s="160">
        <f>SUM(G570+G571)</f>
        <v>14912.1</v>
      </c>
      <c r="H569" s="160"/>
      <c r="I569" s="160">
        <f>SUM(I570+I571)</f>
        <v>14912.1</v>
      </c>
      <c r="J569" s="160">
        <f>SUM(J570+J571)</f>
        <v>14912.1</v>
      </c>
      <c r="K569" s="160"/>
      <c r="L569" s="160">
        <f>SUM(L570+L571)</f>
        <v>14912.1</v>
      </c>
    </row>
    <row r="570" spans="1:12" ht="51.75" x14ac:dyDescent="0.25">
      <c r="A570" s="157"/>
      <c r="B570" s="157" t="s">
        <v>30</v>
      </c>
      <c r="C570" s="159" t="s">
        <v>450</v>
      </c>
      <c r="D570" s="469">
        <v>13401.8</v>
      </c>
      <c r="E570" s="470"/>
      <c r="F570" s="469">
        <f>SUM(D570:E570)</f>
        <v>13401.8</v>
      </c>
      <c r="G570" s="160">
        <v>13464.1</v>
      </c>
      <c r="H570" s="160"/>
      <c r="I570" s="160">
        <v>13464.1</v>
      </c>
      <c r="J570" s="160">
        <v>13464.1</v>
      </c>
      <c r="K570" s="160"/>
      <c r="L570" s="160">
        <v>13464.1</v>
      </c>
    </row>
    <row r="571" spans="1:12" ht="26.25" x14ac:dyDescent="0.25">
      <c r="A571" s="157"/>
      <c r="B571" s="157" t="s">
        <v>17</v>
      </c>
      <c r="C571" s="159" t="s">
        <v>18</v>
      </c>
      <c r="D571" s="469">
        <v>1448</v>
      </c>
      <c r="E571" s="469"/>
      <c r="F571" s="469">
        <v>1448</v>
      </c>
      <c r="G571" s="160">
        <v>1448</v>
      </c>
      <c r="H571" s="160"/>
      <c r="I571" s="160">
        <v>1448</v>
      </c>
      <c r="J571" s="160">
        <v>1448</v>
      </c>
      <c r="K571" s="160"/>
      <c r="L571" s="160">
        <v>1448</v>
      </c>
    </row>
    <row r="572" spans="1:12" x14ac:dyDescent="0.25">
      <c r="A572" s="157"/>
      <c r="B572" s="157" t="s">
        <v>32</v>
      </c>
      <c r="C572" s="159" t="s">
        <v>33</v>
      </c>
      <c r="D572" s="469">
        <v>0</v>
      </c>
      <c r="E572" s="469"/>
      <c r="F572" s="469">
        <v>0</v>
      </c>
      <c r="G572" s="160">
        <v>0</v>
      </c>
      <c r="H572" s="160"/>
      <c r="I572" s="160">
        <v>0</v>
      </c>
      <c r="J572" s="160">
        <v>0</v>
      </c>
      <c r="K572" s="160"/>
      <c r="L572" s="160">
        <v>0</v>
      </c>
    </row>
    <row r="573" spans="1:12" ht="26.25" x14ac:dyDescent="0.25">
      <c r="A573" s="154" t="s">
        <v>343</v>
      </c>
      <c r="B573" s="154"/>
      <c r="C573" s="197" t="s">
        <v>344</v>
      </c>
      <c r="D573" s="468">
        <f>D574+D576+D579+D583+D581</f>
        <v>3922.7</v>
      </c>
      <c r="E573" s="468">
        <f>E574+E576+E579+E583+E581</f>
        <v>0</v>
      </c>
      <c r="F573" s="468">
        <f>F574+F576+F579+F583+F581</f>
        <v>3922.703</v>
      </c>
      <c r="G573" s="156">
        <f>G574+G576+G579+G583+G581</f>
        <v>1099.2</v>
      </c>
      <c r="H573" s="156"/>
      <c r="I573" s="156">
        <f>I574+I576+I579+I583+I581</f>
        <v>1099.2</v>
      </c>
      <c r="J573" s="156">
        <f>J574+J576+J579+J583+J581</f>
        <v>914.5</v>
      </c>
      <c r="K573" s="156"/>
      <c r="L573" s="156">
        <f>L574+L576+L579+L583+L581</f>
        <v>914.5</v>
      </c>
    </row>
    <row r="574" spans="1:12" ht="26.25" x14ac:dyDescent="0.25">
      <c r="A574" s="157" t="s">
        <v>345</v>
      </c>
      <c r="B574" s="157"/>
      <c r="C574" s="198" t="s">
        <v>346</v>
      </c>
      <c r="D574" s="469">
        <f>D575</f>
        <v>79.8</v>
      </c>
      <c r="E574" s="469">
        <f>E575</f>
        <v>0</v>
      </c>
      <c r="F574" s="469">
        <f>F575</f>
        <v>79.8</v>
      </c>
      <c r="G574" s="160">
        <f>G575</f>
        <v>373.6</v>
      </c>
      <c r="H574" s="160"/>
      <c r="I574" s="160">
        <f>I575</f>
        <v>373.6</v>
      </c>
      <c r="J574" s="160">
        <f>J575</f>
        <v>197.5</v>
      </c>
      <c r="K574" s="160"/>
      <c r="L574" s="160">
        <f>L575</f>
        <v>197.5</v>
      </c>
    </row>
    <row r="575" spans="1:12" ht="26.25" x14ac:dyDescent="0.25">
      <c r="A575" s="157"/>
      <c r="B575" s="157" t="s">
        <v>17</v>
      </c>
      <c r="C575" s="159" t="s">
        <v>18</v>
      </c>
      <c r="D575" s="469">
        <v>79.8</v>
      </c>
      <c r="E575" s="469"/>
      <c r="F575" s="469">
        <v>79.8</v>
      </c>
      <c r="G575" s="160">
        <v>373.6</v>
      </c>
      <c r="H575" s="160"/>
      <c r="I575" s="160">
        <v>373.6</v>
      </c>
      <c r="J575" s="160">
        <v>197.5</v>
      </c>
      <c r="K575" s="160"/>
      <c r="L575" s="160">
        <v>197.5</v>
      </c>
    </row>
    <row r="576" spans="1:12" ht="26.25" x14ac:dyDescent="0.25">
      <c r="A576" s="157" t="s">
        <v>347</v>
      </c>
      <c r="B576" s="157"/>
      <c r="C576" s="162" t="s">
        <v>348</v>
      </c>
      <c r="D576" s="469">
        <f>D577+D578</f>
        <v>1225.3</v>
      </c>
      <c r="E576" s="469">
        <f>E577+E578</f>
        <v>0</v>
      </c>
      <c r="F576" s="469">
        <f>F577+F578</f>
        <v>1225.3</v>
      </c>
      <c r="G576" s="160">
        <f>G577</f>
        <v>100.8</v>
      </c>
      <c r="H576" s="160"/>
      <c r="I576" s="160">
        <f>I577</f>
        <v>100.8</v>
      </c>
      <c r="J576" s="160">
        <f>J577</f>
        <v>300.8</v>
      </c>
      <c r="K576" s="160"/>
      <c r="L576" s="160">
        <f>L577</f>
        <v>300.8</v>
      </c>
    </row>
    <row r="577" spans="1:12" ht="26.25" x14ac:dyDescent="0.25">
      <c r="A577" s="157"/>
      <c r="B577" s="157" t="s">
        <v>17</v>
      </c>
      <c r="C577" s="159" t="s">
        <v>18</v>
      </c>
      <c r="D577" s="469">
        <v>1155.3</v>
      </c>
      <c r="E577" s="470"/>
      <c r="F577" s="469">
        <f>SUM(D577:E577)</f>
        <v>1155.3</v>
      </c>
      <c r="G577" s="160">
        <v>100.8</v>
      </c>
      <c r="H577" s="160"/>
      <c r="I577" s="160">
        <v>100.8</v>
      </c>
      <c r="J577" s="160">
        <v>300.8</v>
      </c>
      <c r="K577" s="160"/>
      <c r="L577" s="160">
        <v>300.8</v>
      </c>
    </row>
    <row r="578" spans="1:12" x14ac:dyDescent="0.25">
      <c r="A578" s="157"/>
      <c r="B578" s="157" t="s">
        <v>32</v>
      </c>
      <c r="C578" s="159" t="s">
        <v>33</v>
      </c>
      <c r="D578" s="469">
        <v>70</v>
      </c>
      <c r="E578" s="469"/>
      <c r="F578" s="469">
        <v>70</v>
      </c>
      <c r="G578" s="160"/>
      <c r="H578" s="160"/>
      <c r="I578" s="160">
        <v>0</v>
      </c>
      <c r="J578" s="160"/>
      <c r="K578" s="160"/>
      <c r="L578" s="160">
        <v>0</v>
      </c>
    </row>
    <row r="579" spans="1:12" ht="26.25" x14ac:dyDescent="0.25">
      <c r="A579" s="157" t="s">
        <v>349</v>
      </c>
      <c r="B579" s="157"/>
      <c r="C579" s="212" t="s">
        <v>350</v>
      </c>
      <c r="D579" s="469">
        <f>D580</f>
        <v>0</v>
      </c>
      <c r="E579" s="469"/>
      <c r="F579" s="469">
        <f>F580</f>
        <v>0</v>
      </c>
      <c r="G579" s="160">
        <f>G580</f>
        <v>0</v>
      </c>
      <c r="H579" s="160"/>
      <c r="I579" s="160">
        <f>I580</f>
        <v>0</v>
      </c>
      <c r="J579" s="160">
        <f>J580</f>
        <v>0</v>
      </c>
      <c r="K579" s="160"/>
      <c r="L579" s="160">
        <f>L580</f>
        <v>0</v>
      </c>
    </row>
    <row r="580" spans="1:12" ht="26.25" x14ac:dyDescent="0.25">
      <c r="A580" s="157"/>
      <c r="B580" s="157" t="s">
        <v>17</v>
      </c>
      <c r="C580" s="159" t="s">
        <v>18</v>
      </c>
      <c r="D580" s="482">
        <v>0</v>
      </c>
      <c r="E580" s="482"/>
      <c r="F580" s="482">
        <v>0</v>
      </c>
      <c r="G580" s="435">
        <v>0</v>
      </c>
      <c r="H580" s="435"/>
      <c r="I580" s="435">
        <v>0</v>
      </c>
      <c r="J580" s="435">
        <v>0</v>
      </c>
      <c r="K580" s="435"/>
      <c r="L580" s="435">
        <v>0</v>
      </c>
    </row>
    <row r="581" spans="1:12" ht="26.25" x14ac:dyDescent="0.25">
      <c r="A581" s="157" t="s">
        <v>351</v>
      </c>
      <c r="B581" s="157"/>
      <c r="C581" s="159" t="s">
        <v>352</v>
      </c>
      <c r="D581" s="469">
        <f>D582</f>
        <v>2155.1999999999998</v>
      </c>
      <c r="E581" s="469">
        <f>E582</f>
        <v>0</v>
      </c>
      <c r="F581" s="469">
        <f>F582</f>
        <v>2155.203</v>
      </c>
      <c r="G581" s="160">
        <f>G582</f>
        <v>0</v>
      </c>
      <c r="H581" s="160"/>
      <c r="I581" s="160">
        <f>I582</f>
        <v>0</v>
      </c>
      <c r="J581" s="160">
        <f>J582</f>
        <v>0</v>
      </c>
      <c r="K581" s="160"/>
      <c r="L581" s="160">
        <f>L582</f>
        <v>0</v>
      </c>
    </row>
    <row r="582" spans="1:12" ht="26.25" x14ac:dyDescent="0.25">
      <c r="A582" s="157"/>
      <c r="B582" s="157" t="s">
        <v>17</v>
      </c>
      <c r="C582" s="159" t="s">
        <v>18</v>
      </c>
      <c r="D582" s="476">
        <v>2155.1999999999998</v>
      </c>
      <c r="E582" s="476"/>
      <c r="F582" s="476">
        <v>2155.203</v>
      </c>
      <c r="G582" s="38">
        <v>0</v>
      </c>
      <c r="H582" s="38"/>
      <c r="I582" s="38">
        <v>0</v>
      </c>
      <c r="J582" s="38">
        <v>0</v>
      </c>
      <c r="K582" s="38"/>
      <c r="L582" s="38">
        <v>0</v>
      </c>
    </row>
    <row r="583" spans="1:12" x14ac:dyDescent="0.25">
      <c r="A583" s="157" t="s">
        <v>353</v>
      </c>
      <c r="B583" s="157"/>
      <c r="C583" s="212" t="s">
        <v>354</v>
      </c>
      <c r="D583" s="469">
        <f>D584+D585</f>
        <v>462.4</v>
      </c>
      <c r="E583" s="469">
        <f>E584+E585</f>
        <v>0</v>
      </c>
      <c r="F583" s="469">
        <f>F584+F585</f>
        <v>462.4</v>
      </c>
      <c r="G583" s="160">
        <f>G584+G585</f>
        <v>624.79999999999995</v>
      </c>
      <c r="H583" s="160"/>
      <c r="I583" s="160">
        <f>I584+I585</f>
        <v>624.79999999999995</v>
      </c>
      <c r="J583" s="160">
        <f>J584+J585</f>
        <v>416.2</v>
      </c>
      <c r="K583" s="160"/>
      <c r="L583" s="160">
        <f>L584+L585</f>
        <v>416.2</v>
      </c>
    </row>
    <row r="584" spans="1:12" ht="51.75" x14ac:dyDescent="0.25">
      <c r="A584" s="157"/>
      <c r="B584" s="157" t="s">
        <v>30</v>
      </c>
      <c r="C584" s="159" t="s">
        <v>450</v>
      </c>
      <c r="D584" s="469">
        <v>462.4</v>
      </c>
      <c r="E584" s="469"/>
      <c r="F584" s="469">
        <f>SUM(D584:E584)</f>
        <v>462.4</v>
      </c>
      <c r="G584" s="160">
        <v>491</v>
      </c>
      <c r="H584" s="160"/>
      <c r="I584" s="160">
        <v>491</v>
      </c>
      <c r="J584" s="160">
        <v>416.2</v>
      </c>
      <c r="K584" s="160"/>
      <c r="L584" s="160">
        <v>416.2</v>
      </c>
    </row>
    <row r="585" spans="1:12" ht="26.25" x14ac:dyDescent="0.25">
      <c r="A585" s="157"/>
      <c r="B585" s="157" t="s">
        <v>17</v>
      </c>
      <c r="C585" s="159" t="s">
        <v>18</v>
      </c>
      <c r="D585" s="469">
        <v>0</v>
      </c>
      <c r="E585" s="469"/>
      <c r="F585" s="469">
        <f>SUM(D585:E585)</f>
        <v>0</v>
      </c>
      <c r="G585" s="160">
        <v>133.80000000000001</v>
      </c>
      <c r="H585" s="160"/>
      <c r="I585" s="160">
        <v>133.80000000000001</v>
      </c>
      <c r="J585" s="160">
        <v>0</v>
      </c>
      <c r="K585" s="160"/>
      <c r="L585" s="160">
        <v>0</v>
      </c>
    </row>
    <row r="586" spans="1:12" ht="26.25" x14ac:dyDescent="0.25">
      <c r="A586" s="154" t="s">
        <v>355</v>
      </c>
      <c r="B586" s="154"/>
      <c r="C586" s="197" t="s">
        <v>357</v>
      </c>
      <c r="D586" s="468">
        <f t="shared" ref="D586:L587" si="88">D587</f>
        <v>14.9</v>
      </c>
      <c r="E586" s="468">
        <f t="shared" si="88"/>
        <v>0</v>
      </c>
      <c r="F586" s="468">
        <f t="shared" si="88"/>
        <v>14.9</v>
      </c>
      <c r="G586" s="156">
        <f t="shared" si="88"/>
        <v>20</v>
      </c>
      <c r="H586" s="156"/>
      <c r="I586" s="156">
        <f t="shared" si="88"/>
        <v>20</v>
      </c>
      <c r="J586" s="156">
        <f t="shared" si="88"/>
        <v>70.900000000000006</v>
      </c>
      <c r="K586" s="156"/>
      <c r="L586" s="156">
        <f t="shared" si="88"/>
        <v>70.900000000000006</v>
      </c>
    </row>
    <row r="587" spans="1:12" x14ac:dyDescent="0.25">
      <c r="A587" s="157" t="s">
        <v>798</v>
      </c>
      <c r="B587" s="157"/>
      <c r="C587" s="212" t="s">
        <v>358</v>
      </c>
      <c r="D587" s="469">
        <f t="shared" si="88"/>
        <v>14.9</v>
      </c>
      <c r="E587" s="469">
        <f t="shared" si="88"/>
        <v>0</v>
      </c>
      <c r="F587" s="469">
        <f t="shared" si="88"/>
        <v>14.9</v>
      </c>
      <c r="G587" s="160">
        <f t="shared" si="88"/>
        <v>20</v>
      </c>
      <c r="H587" s="160"/>
      <c r="I587" s="160">
        <f t="shared" si="88"/>
        <v>20</v>
      </c>
      <c r="J587" s="160">
        <f t="shared" si="88"/>
        <v>70.900000000000006</v>
      </c>
      <c r="K587" s="160"/>
      <c r="L587" s="160">
        <f t="shared" si="88"/>
        <v>70.900000000000006</v>
      </c>
    </row>
    <row r="588" spans="1:12" ht="26.25" x14ac:dyDescent="0.25">
      <c r="A588" s="157"/>
      <c r="B588" s="157" t="s">
        <v>17</v>
      </c>
      <c r="C588" s="159" t="s">
        <v>18</v>
      </c>
      <c r="D588" s="469">
        <v>14.9</v>
      </c>
      <c r="E588" s="469"/>
      <c r="F588" s="469">
        <v>14.9</v>
      </c>
      <c r="G588" s="160">
        <v>20</v>
      </c>
      <c r="H588" s="160"/>
      <c r="I588" s="160">
        <v>20</v>
      </c>
      <c r="J588" s="160">
        <v>70.900000000000006</v>
      </c>
      <c r="K588" s="160"/>
      <c r="L588" s="160">
        <v>70.900000000000006</v>
      </c>
    </row>
    <row r="589" spans="1:12" ht="39" x14ac:dyDescent="0.25">
      <c r="A589" s="148" t="s">
        <v>359</v>
      </c>
      <c r="B589" s="148"/>
      <c r="C589" s="166" t="s">
        <v>360</v>
      </c>
      <c r="D589" s="448">
        <f>D590</f>
        <v>0</v>
      </c>
      <c r="E589" s="448"/>
      <c r="F589" s="448">
        <f>F590</f>
        <v>0</v>
      </c>
      <c r="G589" s="150">
        <f t="shared" ref="G589:L589" si="89">G590</f>
        <v>0</v>
      </c>
      <c r="H589" s="150"/>
      <c r="I589" s="150">
        <f t="shared" si="89"/>
        <v>0</v>
      </c>
      <c r="J589" s="150">
        <f t="shared" si="89"/>
        <v>7956</v>
      </c>
      <c r="K589" s="150"/>
      <c r="L589" s="150">
        <f t="shared" si="89"/>
        <v>7956</v>
      </c>
    </row>
    <row r="590" spans="1:12" ht="39" x14ac:dyDescent="0.25">
      <c r="A590" s="151" t="s">
        <v>361</v>
      </c>
      <c r="B590" s="178"/>
      <c r="C590" s="152" t="s">
        <v>362</v>
      </c>
      <c r="D590" s="467">
        <f t="shared" ref="D590:L592" si="90">D591</f>
        <v>0</v>
      </c>
      <c r="E590" s="467"/>
      <c r="F590" s="467">
        <f t="shared" si="90"/>
        <v>0</v>
      </c>
      <c r="G590" s="153">
        <f t="shared" si="90"/>
        <v>0</v>
      </c>
      <c r="H590" s="153"/>
      <c r="I590" s="153">
        <f t="shared" si="90"/>
        <v>0</v>
      </c>
      <c r="J590" s="153">
        <f t="shared" si="90"/>
        <v>7956</v>
      </c>
      <c r="K590" s="153"/>
      <c r="L590" s="153">
        <f t="shared" si="90"/>
        <v>7956</v>
      </c>
    </row>
    <row r="591" spans="1:12" ht="39" x14ac:dyDescent="0.25">
      <c r="A591" s="154" t="s">
        <v>433</v>
      </c>
      <c r="B591" s="164"/>
      <c r="C591" s="155" t="s">
        <v>364</v>
      </c>
      <c r="D591" s="486">
        <f t="shared" si="90"/>
        <v>0</v>
      </c>
      <c r="E591" s="486"/>
      <c r="F591" s="486">
        <f t="shared" si="90"/>
        <v>0</v>
      </c>
      <c r="G591" s="213">
        <f t="shared" si="90"/>
        <v>0</v>
      </c>
      <c r="H591" s="213"/>
      <c r="I591" s="213">
        <f t="shared" si="90"/>
        <v>0</v>
      </c>
      <c r="J591" s="213">
        <f t="shared" si="90"/>
        <v>7956</v>
      </c>
      <c r="K591" s="213"/>
      <c r="L591" s="213">
        <f t="shared" si="90"/>
        <v>7956</v>
      </c>
    </row>
    <row r="592" spans="1:12" ht="39" x14ac:dyDescent="0.25">
      <c r="A592" s="157" t="s">
        <v>363</v>
      </c>
      <c r="B592" s="157"/>
      <c r="C592" s="159" t="s">
        <v>432</v>
      </c>
      <c r="D592" s="469">
        <f t="shared" si="90"/>
        <v>0</v>
      </c>
      <c r="E592" s="469"/>
      <c r="F592" s="469">
        <f t="shared" si="90"/>
        <v>0</v>
      </c>
      <c r="G592" s="160">
        <f t="shared" si="90"/>
        <v>0</v>
      </c>
      <c r="H592" s="160"/>
      <c r="I592" s="160">
        <f t="shared" si="90"/>
        <v>0</v>
      </c>
      <c r="J592" s="160">
        <f>J593+J595</f>
        <v>7956</v>
      </c>
      <c r="K592" s="160"/>
      <c r="L592" s="160">
        <f>L593+L595</f>
        <v>7956</v>
      </c>
    </row>
    <row r="593" spans="1:12" x14ac:dyDescent="0.25">
      <c r="A593" s="157"/>
      <c r="B593" s="157" t="s">
        <v>37</v>
      </c>
      <c r="C593" s="159" t="s">
        <v>38</v>
      </c>
      <c r="D593" s="469">
        <v>0</v>
      </c>
      <c r="E593" s="469"/>
      <c r="F593" s="469">
        <v>0</v>
      </c>
      <c r="G593" s="160">
        <v>0</v>
      </c>
      <c r="H593" s="160"/>
      <c r="I593" s="160">
        <v>0</v>
      </c>
      <c r="J593" s="160">
        <f>J594</f>
        <v>6117.2</v>
      </c>
      <c r="K593" s="160"/>
      <c r="L593" s="160">
        <f>L594</f>
        <v>6117.2</v>
      </c>
    </row>
    <row r="594" spans="1:12" x14ac:dyDescent="0.25">
      <c r="A594" s="157"/>
      <c r="B594" s="157"/>
      <c r="C594" s="205" t="s">
        <v>192</v>
      </c>
      <c r="D594" s="469">
        <v>0</v>
      </c>
      <c r="E594" s="469"/>
      <c r="F594" s="469">
        <v>0</v>
      </c>
      <c r="G594" s="160">
        <v>0</v>
      </c>
      <c r="H594" s="160"/>
      <c r="I594" s="160">
        <v>0</v>
      </c>
      <c r="J594" s="160">
        <v>6117.2</v>
      </c>
      <c r="K594" s="160"/>
      <c r="L594" s="160">
        <v>6117.2</v>
      </c>
    </row>
    <row r="595" spans="1:12" ht="26.25" x14ac:dyDescent="0.25">
      <c r="A595" s="157"/>
      <c r="B595" s="157" t="s">
        <v>186</v>
      </c>
      <c r="C595" s="159" t="s">
        <v>187</v>
      </c>
      <c r="D595" s="469">
        <v>0</v>
      </c>
      <c r="E595" s="469"/>
      <c r="F595" s="469">
        <v>0</v>
      </c>
      <c r="G595" s="160">
        <v>0</v>
      </c>
      <c r="H595" s="160"/>
      <c r="I595" s="160">
        <v>0</v>
      </c>
      <c r="J595" s="160">
        <f>J596</f>
        <v>1838.8</v>
      </c>
      <c r="K595" s="160"/>
      <c r="L595" s="160">
        <f>L596</f>
        <v>1838.8</v>
      </c>
    </row>
    <row r="596" spans="1:12" x14ac:dyDescent="0.25">
      <c r="A596" s="157"/>
      <c r="B596" s="157"/>
      <c r="C596" s="205" t="s">
        <v>192</v>
      </c>
      <c r="D596" s="469">
        <v>0</v>
      </c>
      <c r="E596" s="469"/>
      <c r="F596" s="469">
        <v>0</v>
      </c>
      <c r="G596" s="160">
        <v>0</v>
      </c>
      <c r="H596" s="160"/>
      <c r="I596" s="160">
        <v>0</v>
      </c>
      <c r="J596" s="160">
        <v>1838.8</v>
      </c>
      <c r="K596" s="160"/>
      <c r="L596" s="160">
        <v>1838.8</v>
      </c>
    </row>
    <row r="597" spans="1:12" ht="39" x14ac:dyDescent="0.25">
      <c r="A597" s="148" t="s">
        <v>365</v>
      </c>
      <c r="B597" s="210"/>
      <c r="C597" s="166" t="s">
        <v>1126</v>
      </c>
      <c r="D597" s="448">
        <f>D598+D612</f>
        <v>4428.7000000000007</v>
      </c>
      <c r="E597" s="448">
        <f>E598+E612</f>
        <v>-499.97899999999998</v>
      </c>
      <c r="F597" s="448">
        <f>F598+F612</f>
        <v>3928.7210000000005</v>
      </c>
      <c r="G597" s="150">
        <f>G598+G612</f>
        <v>3811.1</v>
      </c>
      <c r="H597" s="150"/>
      <c r="I597" s="150">
        <f>I598+I612</f>
        <v>3811.1</v>
      </c>
      <c r="J597" s="150">
        <f>J598+J612</f>
        <v>2300</v>
      </c>
      <c r="K597" s="150"/>
      <c r="L597" s="150">
        <f>L598+L612</f>
        <v>2300</v>
      </c>
    </row>
    <row r="598" spans="1:12" x14ac:dyDescent="0.25">
      <c r="A598" s="154" t="s">
        <v>366</v>
      </c>
      <c r="B598" s="164"/>
      <c r="C598" s="155" t="s">
        <v>367</v>
      </c>
      <c r="D598" s="468">
        <f>D599+D606+D601+D610</f>
        <v>4178.7000000000007</v>
      </c>
      <c r="E598" s="468">
        <f>E599+E606+E601+E610</f>
        <v>-499.97899999999998</v>
      </c>
      <c r="F598" s="468">
        <f>F599+F606+F601+F610</f>
        <v>3678.7210000000005</v>
      </c>
      <c r="G598" s="156">
        <f>G599+G606</f>
        <v>3811.1</v>
      </c>
      <c r="H598" s="156"/>
      <c r="I598" s="156">
        <f>I599+I606</f>
        <v>3811.1</v>
      </c>
      <c r="J598" s="156">
        <f>J599+J606</f>
        <v>2000</v>
      </c>
      <c r="K598" s="156"/>
      <c r="L598" s="156">
        <f>L599+L606</f>
        <v>2000</v>
      </c>
    </row>
    <row r="599" spans="1:12" x14ac:dyDescent="0.25">
      <c r="A599" s="157" t="s">
        <v>471</v>
      </c>
      <c r="B599" s="157"/>
      <c r="C599" s="159" t="s">
        <v>740</v>
      </c>
      <c r="D599" s="470">
        <f>D600</f>
        <v>1083.9000000000001</v>
      </c>
      <c r="E599" s="470">
        <f>E600</f>
        <v>-500</v>
      </c>
      <c r="F599" s="470">
        <f>F600</f>
        <v>583.90000000000009</v>
      </c>
      <c r="G599" s="160">
        <f>G600</f>
        <v>500</v>
      </c>
      <c r="H599" s="160"/>
      <c r="I599" s="160">
        <f>I600</f>
        <v>500</v>
      </c>
      <c r="J599" s="160">
        <f>J600</f>
        <v>1000</v>
      </c>
      <c r="K599" s="160"/>
      <c r="L599" s="160">
        <f>L600</f>
        <v>1000</v>
      </c>
    </row>
    <row r="600" spans="1:12" ht="26.25" x14ac:dyDescent="0.25">
      <c r="A600" s="157"/>
      <c r="B600" s="157" t="s">
        <v>17</v>
      </c>
      <c r="C600" s="159" t="s">
        <v>18</v>
      </c>
      <c r="D600" s="470">
        <v>1083.9000000000001</v>
      </c>
      <c r="E600" s="470">
        <v>-500</v>
      </c>
      <c r="F600" s="470">
        <f>SUM(D600:E600)</f>
        <v>583.90000000000009</v>
      </c>
      <c r="G600" s="160">
        <v>500</v>
      </c>
      <c r="H600" s="160"/>
      <c r="I600" s="160">
        <v>500</v>
      </c>
      <c r="J600" s="160">
        <v>1000</v>
      </c>
      <c r="K600" s="160"/>
      <c r="L600" s="160">
        <v>1000</v>
      </c>
    </row>
    <row r="601" spans="1:12" x14ac:dyDescent="0.25">
      <c r="A601" s="157" t="s">
        <v>1084</v>
      </c>
      <c r="B601" s="157"/>
      <c r="C601" s="159" t="s">
        <v>1085</v>
      </c>
      <c r="D601" s="470">
        <f>D602</f>
        <v>107.1</v>
      </c>
      <c r="E601" s="470">
        <f>E602</f>
        <v>0</v>
      </c>
      <c r="F601" s="470">
        <f>F602</f>
        <v>107.1</v>
      </c>
      <c r="G601" s="160"/>
      <c r="H601" s="160"/>
      <c r="I601" s="160">
        <v>0</v>
      </c>
      <c r="J601" s="160"/>
      <c r="K601" s="160"/>
      <c r="L601" s="160">
        <v>0</v>
      </c>
    </row>
    <row r="602" spans="1:12" ht="26.25" x14ac:dyDescent="0.25">
      <c r="A602" s="157"/>
      <c r="B602" s="157" t="s">
        <v>17</v>
      </c>
      <c r="C602" s="159" t="s">
        <v>18</v>
      </c>
      <c r="D602" s="470">
        <f>D603+D604+D605</f>
        <v>107.1</v>
      </c>
      <c r="E602" s="470">
        <f>E603+E604+E605</f>
        <v>0</v>
      </c>
      <c r="F602" s="470">
        <f>F603+F604+F605</f>
        <v>107.1</v>
      </c>
      <c r="G602" s="160"/>
      <c r="H602" s="160"/>
      <c r="I602" s="160">
        <v>0</v>
      </c>
      <c r="J602" s="160"/>
      <c r="K602" s="160"/>
      <c r="L602" s="160">
        <v>0</v>
      </c>
    </row>
    <row r="603" spans="1:12" x14ac:dyDescent="0.25">
      <c r="A603" s="157"/>
      <c r="B603" s="157"/>
      <c r="C603" s="205" t="s">
        <v>1086</v>
      </c>
      <c r="D603" s="470">
        <v>61.5</v>
      </c>
      <c r="E603" s="470">
        <v>2.5000000000000001E-2</v>
      </c>
      <c r="F603" s="470">
        <v>61.524999999999999</v>
      </c>
      <c r="G603" s="160"/>
      <c r="H603" s="160"/>
      <c r="I603" s="160">
        <v>0</v>
      </c>
      <c r="J603" s="160"/>
      <c r="K603" s="160"/>
      <c r="L603" s="160">
        <v>0</v>
      </c>
    </row>
    <row r="604" spans="1:12" x14ac:dyDescent="0.25">
      <c r="A604" s="157"/>
      <c r="B604" s="157"/>
      <c r="C604" s="205" t="s">
        <v>191</v>
      </c>
      <c r="D604" s="470">
        <v>29.5</v>
      </c>
      <c r="E604" s="470">
        <v>0.01</v>
      </c>
      <c r="F604" s="470">
        <v>29.51</v>
      </c>
      <c r="G604" s="160"/>
      <c r="H604" s="160"/>
      <c r="I604" s="160">
        <v>0</v>
      </c>
      <c r="J604" s="160"/>
      <c r="K604" s="160"/>
      <c r="L604" s="160">
        <v>0</v>
      </c>
    </row>
    <row r="605" spans="1:12" x14ac:dyDescent="0.25">
      <c r="A605" s="157"/>
      <c r="B605" s="157"/>
      <c r="C605" s="159" t="s">
        <v>447</v>
      </c>
      <c r="D605" s="470">
        <v>16.100000000000001</v>
      </c>
      <c r="E605" s="470">
        <v>-3.5000000000000003E-2</v>
      </c>
      <c r="F605" s="470">
        <f>D605+E605</f>
        <v>16.065000000000001</v>
      </c>
      <c r="G605" s="160"/>
      <c r="H605" s="160"/>
      <c r="I605" s="160">
        <v>0</v>
      </c>
      <c r="J605" s="160"/>
      <c r="K605" s="160"/>
      <c r="L605" s="160">
        <v>0</v>
      </c>
    </row>
    <row r="606" spans="1:12" ht="25.5" x14ac:dyDescent="0.25">
      <c r="A606" s="157" t="s">
        <v>462</v>
      </c>
      <c r="B606" s="157"/>
      <c r="C606" s="188" t="s">
        <v>738</v>
      </c>
      <c r="D606" s="470">
        <f>D607</f>
        <v>2915.7000000000003</v>
      </c>
      <c r="E606" s="470">
        <f>E607</f>
        <v>2.1000000000000005E-2</v>
      </c>
      <c r="F606" s="470">
        <f>F607</f>
        <v>2915.7210000000005</v>
      </c>
      <c r="G606" s="160">
        <f>G607</f>
        <v>3311.1</v>
      </c>
      <c r="H606" s="160"/>
      <c r="I606" s="160">
        <f>I607</f>
        <v>3311.1</v>
      </c>
      <c r="J606" s="160">
        <f>J607</f>
        <v>1000</v>
      </c>
      <c r="K606" s="160"/>
      <c r="L606" s="160">
        <f>L607</f>
        <v>1000</v>
      </c>
    </row>
    <row r="607" spans="1:12" ht="26.25" x14ac:dyDescent="0.25">
      <c r="A607" s="157"/>
      <c r="B607" s="157" t="s">
        <v>17</v>
      </c>
      <c r="C607" s="159" t="s">
        <v>18</v>
      </c>
      <c r="D607" s="470">
        <f>D608+D609</f>
        <v>2915.7000000000003</v>
      </c>
      <c r="E607" s="470">
        <f>E608+E609</f>
        <v>2.1000000000000005E-2</v>
      </c>
      <c r="F607" s="470">
        <f>F608+F609</f>
        <v>2915.7210000000005</v>
      </c>
      <c r="G607" s="160">
        <f>G608+G609</f>
        <v>3311.1</v>
      </c>
      <c r="H607" s="160"/>
      <c r="I607" s="160">
        <f>I608+I609</f>
        <v>3311.1</v>
      </c>
      <c r="J607" s="160">
        <v>1000</v>
      </c>
      <c r="K607" s="160"/>
      <c r="L607" s="160">
        <v>1000</v>
      </c>
    </row>
    <row r="608" spans="1:12" x14ac:dyDescent="0.25">
      <c r="A608" s="157"/>
      <c r="B608" s="157"/>
      <c r="C608" s="205" t="s">
        <v>191</v>
      </c>
      <c r="D608" s="470">
        <v>2478.4</v>
      </c>
      <c r="E608" s="470">
        <v>-3.6999999999999998E-2</v>
      </c>
      <c r="F608" s="470">
        <f>SUM(D608:E608)</f>
        <v>2478.3630000000003</v>
      </c>
      <c r="G608" s="160">
        <v>2814.4</v>
      </c>
      <c r="H608" s="160"/>
      <c r="I608" s="160">
        <v>2814.4</v>
      </c>
      <c r="J608" s="160">
        <v>0</v>
      </c>
      <c r="K608" s="160"/>
      <c r="L608" s="160">
        <v>0</v>
      </c>
    </row>
    <row r="609" spans="1:12" x14ac:dyDescent="0.25">
      <c r="A609" s="157"/>
      <c r="B609" s="157"/>
      <c r="C609" s="159" t="s">
        <v>447</v>
      </c>
      <c r="D609" s="470">
        <v>437.3</v>
      </c>
      <c r="E609" s="470">
        <v>5.8000000000000003E-2</v>
      </c>
      <c r="F609" s="470">
        <f>SUM(D609:E609)</f>
        <v>437.358</v>
      </c>
      <c r="G609" s="160">
        <v>496.7</v>
      </c>
      <c r="H609" s="160"/>
      <c r="I609" s="160">
        <v>496.7</v>
      </c>
      <c r="J609" s="160">
        <v>1000</v>
      </c>
      <c r="K609" s="160"/>
      <c r="L609" s="160">
        <v>1000</v>
      </c>
    </row>
    <row r="610" spans="1:12" ht="51.75" x14ac:dyDescent="0.25">
      <c r="A610" s="157" t="s">
        <v>1103</v>
      </c>
      <c r="B610" s="157"/>
      <c r="C610" s="159" t="s">
        <v>1102</v>
      </c>
      <c r="D610" s="470">
        <v>72</v>
      </c>
      <c r="E610" s="470"/>
      <c r="F610" s="470">
        <v>72</v>
      </c>
      <c r="G610" s="160"/>
      <c r="H610" s="160"/>
      <c r="I610" s="160">
        <v>0</v>
      </c>
      <c r="J610" s="160"/>
      <c r="K610" s="160"/>
      <c r="L610" s="160">
        <v>0</v>
      </c>
    </row>
    <row r="611" spans="1:12" ht="26.25" x14ac:dyDescent="0.25">
      <c r="A611" s="157"/>
      <c r="B611" s="157" t="s">
        <v>17</v>
      </c>
      <c r="C611" s="159" t="s">
        <v>18</v>
      </c>
      <c r="D611" s="469">
        <v>72</v>
      </c>
      <c r="E611" s="469"/>
      <c r="F611" s="469">
        <v>72</v>
      </c>
      <c r="G611" s="160"/>
      <c r="H611" s="160"/>
      <c r="I611" s="160">
        <v>0</v>
      </c>
      <c r="J611" s="160"/>
      <c r="K611" s="160"/>
      <c r="L611" s="160">
        <v>0</v>
      </c>
    </row>
    <row r="612" spans="1:12" ht="39" x14ac:dyDescent="0.25">
      <c r="A612" s="154" t="s">
        <v>368</v>
      </c>
      <c r="B612" s="164"/>
      <c r="C612" s="155" t="s">
        <v>1112</v>
      </c>
      <c r="D612" s="468">
        <f t="shared" ref="D612:L613" si="91">D613</f>
        <v>250</v>
      </c>
      <c r="E612" s="468"/>
      <c r="F612" s="468">
        <f t="shared" si="91"/>
        <v>250</v>
      </c>
      <c r="G612" s="156">
        <f t="shared" si="91"/>
        <v>0</v>
      </c>
      <c r="H612" s="156"/>
      <c r="I612" s="156">
        <f t="shared" si="91"/>
        <v>0</v>
      </c>
      <c r="J612" s="156">
        <f t="shared" si="91"/>
        <v>300</v>
      </c>
      <c r="K612" s="156"/>
      <c r="L612" s="156">
        <f t="shared" si="91"/>
        <v>300</v>
      </c>
    </row>
    <row r="613" spans="1:12" ht="39" x14ac:dyDescent="0.25">
      <c r="A613" s="157" t="s">
        <v>472</v>
      </c>
      <c r="B613" s="157"/>
      <c r="C613" s="159" t="s">
        <v>369</v>
      </c>
      <c r="D613" s="469">
        <f t="shared" si="91"/>
        <v>250</v>
      </c>
      <c r="E613" s="469"/>
      <c r="F613" s="469">
        <f t="shared" si="91"/>
        <v>250</v>
      </c>
      <c r="G613" s="160">
        <f t="shared" si="91"/>
        <v>0</v>
      </c>
      <c r="H613" s="160"/>
      <c r="I613" s="160">
        <f t="shared" si="91"/>
        <v>0</v>
      </c>
      <c r="J613" s="160">
        <f t="shared" si="91"/>
        <v>300</v>
      </c>
      <c r="K613" s="160"/>
      <c r="L613" s="160">
        <f t="shared" si="91"/>
        <v>300</v>
      </c>
    </row>
    <row r="614" spans="1:12" ht="26.25" x14ac:dyDescent="0.25">
      <c r="A614" s="157"/>
      <c r="B614" s="157" t="s">
        <v>17</v>
      </c>
      <c r="C614" s="159" t="s">
        <v>18</v>
      </c>
      <c r="D614" s="469">
        <v>250</v>
      </c>
      <c r="E614" s="469"/>
      <c r="F614" s="469">
        <v>250</v>
      </c>
      <c r="G614" s="160">
        <v>0</v>
      </c>
      <c r="H614" s="160"/>
      <c r="I614" s="160">
        <v>0</v>
      </c>
      <c r="J614" s="160">
        <v>300</v>
      </c>
      <c r="K614" s="160"/>
      <c r="L614" s="160">
        <v>300</v>
      </c>
    </row>
    <row r="615" spans="1:12" ht="39" x14ac:dyDescent="0.25">
      <c r="A615" s="148" t="s">
        <v>370</v>
      </c>
      <c r="B615" s="148"/>
      <c r="C615" s="166" t="s">
        <v>412</v>
      </c>
      <c r="D615" s="448">
        <f t="shared" ref="D615:J615" si="92">D616</f>
        <v>429.1</v>
      </c>
      <c r="E615" s="448">
        <f t="shared" si="92"/>
        <v>-0.216</v>
      </c>
      <c r="F615" s="448">
        <f t="shared" si="92"/>
        <v>428.88399999999996</v>
      </c>
      <c r="G615" s="150">
        <f t="shared" si="92"/>
        <v>431.1</v>
      </c>
      <c r="H615" s="150">
        <f t="shared" si="92"/>
        <v>0</v>
      </c>
      <c r="I615" s="150">
        <f t="shared" si="92"/>
        <v>431.1</v>
      </c>
      <c r="J615" s="150">
        <f t="shared" si="92"/>
        <v>0</v>
      </c>
      <c r="K615" s="150"/>
      <c r="L615" s="150">
        <f>L616</f>
        <v>0</v>
      </c>
    </row>
    <row r="616" spans="1:12" ht="39" x14ac:dyDescent="0.25">
      <c r="A616" s="154" t="s">
        <v>434</v>
      </c>
      <c r="B616" s="164"/>
      <c r="C616" s="155" t="s">
        <v>371</v>
      </c>
      <c r="D616" s="468">
        <f>D617</f>
        <v>429.1</v>
      </c>
      <c r="E616" s="468">
        <f t="shared" ref="E616:L616" si="93">E617</f>
        <v>-0.216</v>
      </c>
      <c r="F616" s="156">
        <f t="shared" si="93"/>
        <v>428.88399999999996</v>
      </c>
      <c r="G616" s="156">
        <f t="shared" si="93"/>
        <v>431.1</v>
      </c>
      <c r="H616" s="156">
        <f t="shared" si="93"/>
        <v>0</v>
      </c>
      <c r="I616" s="156">
        <f t="shared" si="93"/>
        <v>431.1</v>
      </c>
      <c r="J616" s="156">
        <f t="shared" si="93"/>
        <v>0</v>
      </c>
      <c r="K616" s="156">
        <f t="shared" si="93"/>
        <v>0</v>
      </c>
      <c r="L616" s="156">
        <f t="shared" si="93"/>
        <v>0</v>
      </c>
    </row>
    <row r="617" spans="1:12" ht="38.25" x14ac:dyDescent="0.25">
      <c r="A617" s="192" t="s">
        <v>489</v>
      </c>
      <c r="B617" s="192"/>
      <c r="C617" s="188" t="s">
        <v>490</v>
      </c>
      <c r="D617" s="469">
        <f>D618</f>
        <v>429.1</v>
      </c>
      <c r="E617" s="469">
        <f>E618</f>
        <v>-0.216</v>
      </c>
      <c r="F617" s="469">
        <f>F618</f>
        <v>428.88399999999996</v>
      </c>
      <c r="G617" s="160">
        <f>G618</f>
        <v>431.1</v>
      </c>
      <c r="H617" s="160">
        <f>H618</f>
        <v>0</v>
      </c>
      <c r="I617" s="160">
        <f>I618</f>
        <v>431.1</v>
      </c>
      <c r="J617" s="160">
        <v>0</v>
      </c>
      <c r="K617" s="160"/>
      <c r="L617" s="160">
        <v>0</v>
      </c>
    </row>
    <row r="618" spans="1:12" ht="26.25" x14ac:dyDescent="0.25">
      <c r="A618" s="157"/>
      <c r="B618" s="157" t="s">
        <v>17</v>
      </c>
      <c r="C618" s="159" t="s">
        <v>372</v>
      </c>
      <c r="D618" s="469">
        <f t="shared" ref="D618:I618" si="94">SUM(D619:D620)</f>
        <v>429.1</v>
      </c>
      <c r="E618" s="469">
        <f t="shared" si="94"/>
        <v>-0.216</v>
      </c>
      <c r="F618" s="469">
        <f t="shared" si="94"/>
        <v>428.88399999999996</v>
      </c>
      <c r="G618" s="160">
        <f t="shared" si="94"/>
        <v>431.1</v>
      </c>
      <c r="H618" s="160">
        <f t="shared" si="94"/>
        <v>0</v>
      </c>
      <c r="I618" s="160">
        <f t="shared" si="94"/>
        <v>431.1</v>
      </c>
      <c r="J618" s="160">
        <v>0</v>
      </c>
      <c r="K618" s="160"/>
      <c r="L618" s="160">
        <v>0</v>
      </c>
    </row>
    <row r="619" spans="1:12" x14ac:dyDescent="0.25">
      <c r="A619" s="157"/>
      <c r="B619" s="157"/>
      <c r="C619" s="159" t="s">
        <v>102</v>
      </c>
      <c r="D619" s="470">
        <v>321.7</v>
      </c>
      <c r="E619" s="470">
        <v>-3.3000000000000002E-2</v>
      </c>
      <c r="F619" s="470">
        <f>SUM(D619:E619)</f>
        <v>321.66699999999997</v>
      </c>
      <c r="G619" s="160">
        <v>323.3</v>
      </c>
      <c r="H619" s="160"/>
      <c r="I619" s="160">
        <v>323.3</v>
      </c>
      <c r="J619" s="160">
        <v>0</v>
      </c>
      <c r="K619" s="160"/>
      <c r="L619" s="160">
        <v>0</v>
      </c>
    </row>
    <row r="620" spans="1:12" x14ac:dyDescent="0.25">
      <c r="A620" s="157"/>
      <c r="B620" s="157"/>
      <c r="C620" s="159" t="s">
        <v>146</v>
      </c>
      <c r="D620" s="470">
        <v>107.4</v>
      </c>
      <c r="E620" s="470">
        <v>-0.183</v>
      </c>
      <c r="F620" s="470">
        <f>SUM(D620:E620)</f>
        <v>107.217</v>
      </c>
      <c r="G620" s="160">
        <v>107.8</v>
      </c>
      <c r="H620" s="160"/>
      <c r="I620" s="160">
        <v>107.8</v>
      </c>
      <c r="J620" s="160">
        <v>0</v>
      </c>
      <c r="K620" s="160"/>
      <c r="L620" s="160">
        <v>0</v>
      </c>
    </row>
    <row r="621" spans="1:12" x14ac:dyDescent="0.25">
      <c r="A621" s="214" t="s">
        <v>373</v>
      </c>
      <c r="B621" s="214"/>
      <c r="C621" s="215" t="s">
        <v>374</v>
      </c>
      <c r="D621" s="487">
        <f t="shared" ref="D621:L621" si="95">D622+D630</f>
        <v>64163.299999999996</v>
      </c>
      <c r="E621" s="487">
        <f t="shared" si="95"/>
        <v>270.95499999999998</v>
      </c>
      <c r="F621" s="487">
        <f t="shared" si="95"/>
        <v>64434.255000000005</v>
      </c>
      <c r="G621" s="216">
        <f t="shared" si="95"/>
        <v>52581.5</v>
      </c>
      <c r="H621" s="216">
        <f t="shared" si="95"/>
        <v>0</v>
      </c>
      <c r="I621" s="216">
        <f t="shared" si="95"/>
        <v>52581.5</v>
      </c>
      <c r="J621" s="216">
        <f t="shared" si="95"/>
        <v>53699.5</v>
      </c>
      <c r="K621" s="216">
        <f t="shared" si="95"/>
        <v>0</v>
      </c>
      <c r="L621" s="216">
        <f t="shared" si="95"/>
        <v>53699.5</v>
      </c>
    </row>
    <row r="622" spans="1:12" ht="26.25" x14ac:dyDescent="0.25">
      <c r="A622" s="217" t="s">
        <v>375</v>
      </c>
      <c r="B622" s="218"/>
      <c r="C622" s="219" t="s">
        <v>376</v>
      </c>
      <c r="D622" s="488">
        <f>D623+D625+D628</f>
        <v>2607.6999999999998</v>
      </c>
      <c r="E622" s="488">
        <f>E623+E625+E628</f>
        <v>0</v>
      </c>
      <c r="F622" s="488">
        <f>F623+F625+F628</f>
        <v>2607.6999999999998</v>
      </c>
      <c r="G622" s="220">
        <f>G623+G625+G628</f>
        <v>2610.6999999999998</v>
      </c>
      <c r="H622" s="220"/>
      <c r="I622" s="220">
        <f>I623+I625+I628</f>
        <v>2610.6999999999998</v>
      </c>
      <c r="J622" s="220">
        <f>J623+J625+J628</f>
        <v>2610.6999999999998</v>
      </c>
      <c r="K622" s="220"/>
      <c r="L622" s="220">
        <f>L623+L625+L628</f>
        <v>2610.6999999999998</v>
      </c>
    </row>
    <row r="623" spans="1:12" ht="27.75" customHeight="1" x14ac:dyDescent="0.25">
      <c r="A623" s="157" t="s">
        <v>377</v>
      </c>
      <c r="B623" s="157"/>
      <c r="C623" s="159" t="s">
        <v>378</v>
      </c>
      <c r="D623" s="469">
        <f>D624</f>
        <v>1164</v>
      </c>
      <c r="E623" s="469"/>
      <c r="F623" s="469">
        <f>F624</f>
        <v>1164</v>
      </c>
      <c r="G623" s="160">
        <f>G624</f>
        <v>1164</v>
      </c>
      <c r="H623" s="160"/>
      <c r="I623" s="160">
        <f>I624</f>
        <v>1164</v>
      </c>
      <c r="J623" s="160">
        <f>J624</f>
        <v>1164</v>
      </c>
      <c r="K623" s="160"/>
      <c r="L623" s="160">
        <f>L624</f>
        <v>1164</v>
      </c>
    </row>
    <row r="624" spans="1:12" ht="51.75" x14ac:dyDescent="0.25">
      <c r="A624" s="157"/>
      <c r="B624" s="157" t="s">
        <v>30</v>
      </c>
      <c r="C624" s="159" t="s">
        <v>450</v>
      </c>
      <c r="D624" s="469">
        <v>1164</v>
      </c>
      <c r="E624" s="469"/>
      <c r="F624" s="469">
        <v>1164</v>
      </c>
      <c r="G624" s="160">
        <v>1164</v>
      </c>
      <c r="H624" s="160"/>
      <c r="I624" s="160">
        <v>1164</v>
      </c>
      <c r="J624" s="160">
        <v>1164</v>
      </c>
      <c r="K624" s="160"/>
      <c r="L624" s="160">
        <v>1164</v>
      </c>
    </row>
    <row r="625" spans="1:12" ht="26.25" x14ac:dyDescent="0.25">
      <c r="A625" s="157" t="s">
        <v>379</v>
      </c>
      <c r="B625" s="157"/>
      <c r="C625" s="159" t="s">
        <v>380</v>
      </c>
      <c r="D625" s="469">
        <f>D626+D627</f>
        <v>1432.7</v>
      </c>
      <c r="E625" s="469">
        <f>E626+E627</f>
        <v>0</v>
      </c>
      <c r="F625" s="469">
        <f>F626+F627</f>
        <v>1432.7</v>
      </c>
      <c r="G625" s="160">
        <f>G626+G627</f>
        <v>1446.7</v>
      </c>
      <c r="H625" s="160"/>
      <c r="I625" s="160">
        <f>I626+I627</f>
        <v>1446.7</v>
      </c>
      <c r="J625" s="160">
        <f>J626+J627</f>
        <v>1446.7</v>
      </c>
      <c r="K625" s="160"/>
      <c r="L625" s="160">
        <f>L626+L627</f>
        <v>1446.7</v>
      </c>
    </row>
    <row r="626" spans="1:12" ht="51.75" x14ac:dyDescent="0.25">
      <c r="A626" s="157"/>
      <c r="B626" s="157" t="s">
        <v>30</v>
      </c>
      <c r="C626" s="159" t="s">
        <v>450</v>
      </c>
      <c r="D626" s="469">
        <v>1392</v>
      </c>
      <c r="E626" s="470"/>
      <c r="F626" s="469">
        <f>SUM(D626:E626)</f>
        <v>1392</v>
      </c>
      <c r="G626" s="160">
        <v>1406</v>
      </c>
      <c r="H626" s="160"/>
      <c r="I626" s="160">
        <v>1406</v>
      </c>
      <c r="J626" s="160">
        <v>1406</v>
      </c>
      <c r="K626" s="160"/>
      <c r="L626" s="160">
        <v>1406</v>
      </c>
    </row>
    <row r="627" spans="1:12" ht="26.25" x14ac:dyDescent="0.25">
      <c r="A627" s="157"/>
      <c r="B627" s="157" t="s">
        <v>17</v>
      </c>
      <c r="C627" s="159" t="s">
        <v>18</v>
      </c>
      <c r="D627" s="469">
        <v>40.700000000000003</v>
      </c>
      <c r="E627" s="469"/>
      <c r="F627" s="469">
        <v>40.700000000000003</v>
      </c>
      <c r="G627" s="160">
        <v>40.700000000000003</v>
      </c>
      <c r="H627" s="160"/>
      <c r="I627" s="160">
        <v>40.700000000000003</v>
      </c>
      <c r="J627" s="160">
        <v>40.700000000000003</v>
      </c>
      <c r="K627" s="160"/>
      <c r="L627" s="160">
        <v>40.700000000000003</v>
      </c>
    </row>
    <row r="628" spans="1:12" x14ac:dyDescent="0.25">
      <c r="A628" s="157" t="s">
        <v>381</v>
      </c>
      <c r="B628" s="157"/>
      <c r="C628" s="159" t="s">
        <v>382</v>
      </c>
      <c r="D628" s="469">
        <f>D629</f>
        <v>11</v>
      </c>
      <c r="E628" s="469"/>
      <c r="F628" s="469">
        <f>F629</f>
        <v>11</v>
      </c>
      <c r="G628" s="160">
        <f>G629</f>
        <v>0</v>
      </c>
      <c r="H628" s="160"/>
      <c r="I628" s="160">
        <f>I629</f>
        <v>0</v>
      </c>
      <c r="J628" s="160">
        <f>J629</f>
        <v>0</v>
      </c>
      <c r="K628" s="160"/>
      <c r="L628" s="160">
        <f>L629</f>
        <v>0</v>
      </c>
    </row>
    <row r="629" spans="1:12" ht="26.25" x14ac:dyDescent="0.25">
      <c r="A629" s="157"/>
      <c r="B629" s="157" t="s">
        <v>17</v>
      </c>
      <c r="C629" s="159" t="s">
        <v>18</v>
      </c>
      <c r="D629" s="469">
        <v>11</v>
      </c>
      <c r="E629" s="469"/>
      <c r="F629" s="469">
        <v>11</v>
      </c>
      <c r="G629" s="160">
        <v>0</v>
      </c>
      <c r="H629" s="160"/>
      <c r="I629" s="160">
        <v>0</v>
      </c>
      <c r="J629" s="160">
        <v>0</v>
      </c>
      <c r="K629" s="160"/>
      <c r="L629" s="160">
        <v>0</v>
      </c>
    </row>
    <row r="630" spans="1:12" ht="39" x14ac:dyDescent="0.25">
      <c r="A630" s="217" t="s">
        <v>383</v>
      </c>
      <c r="B630" s="217"/>
      <c r="C630" s="219" t="s">
        <v>384</v>
      </c>
      <c r="D630" s="488">
        <f>D631+D635+D642+D644+D650+D652+D655+D657+D661+D663+D673+D6427+D638+D665+D667+D676+D678+D648+D681+D640+D669+D683</f>
        <v>61555.6</v>
      </c>
      <c r="E630" s="488">
        <f>E631+E635+E642+E644+E650+E652+E655+E657+E661+E663+E673+E6427+E638+E665+E667+E676+E678+E648+E681+E640+E669+E683+E671</f>
        <v>270.95499999999998</v>
      </c>
      <c r="F630" s="488">
        <f>F631+F635+F642+F644+F650+F652+F655+F657+F661+F663+F673+F6427+F638+F665+F667+F676+F678+F648+F681+F640+F669+F683+F671</f>
        <v>61826.555000000008</v>
      </c>
      <c r="G630" s="220">
        <f>G631+G635+G642+G644+G650+G652+G655+G657+G661+G663+G673+G6427+G638+G665+G667</f>
        <v>49970.8</v>
      </c>
      <c r="H630" s="220">
        <f>H631+H635+H642+H644+H650+H652+H655+H657+H661+H663+H673+H6427+H638+H665+H667+H676+H678+H648+H681</f>
        <v>0</v>
      </c>
      <c r="I630" s="220">
        <f>I631+I635+I642+I644+I650+I652+I655+I657+I661+I663+I673+I6427+I638+I665+I667</f>
        <v>49970.8</v>
      </c>
      <c r="J630" s="220">
        <f>J631+J635+J642+J644+J650+J652+J655+J657+J661+J663+J673+J6427+J638+J665+J667</f>
        <v>51088.800000000003</v>
      </c>
      <c r="K630" s="220">
        <f>K631+K635+K642+K644+K650+K652+K655+K657+K661+K663+K673+K6427+K638+K665+K667+K676+K678+K648+K681</f>
        <v>0</v>
      </c>
      <c r="L630" s="220">
        <f>L631+L635+L642+L644+L650+L652+L655+L657+L661+L663+L673+L6427+L638+L665+L667</f>
        <v>51088.800000000003</v>
      </c>
    </row>
    <row r="631" spans="1:12" ht="26.25" x14ac:dyDescent="0.25">
      <c r="A631" s="157" t="s">
        <v>385</v>
      </c>
      <c r="B631" s="157"/>
      <c r="C631" s="159" t="s">
        <v>386</v>
      </c>
      <c r="D631" s="469">
        <f>D632+D633+D634</f>
        <v>2804.1</v>
      </c>
      <c r="E631" s="469">
        <f>E634+E632+E633</f>
        <v>0</v>
      </c>
      <c r="F631" s="469">
        <f>F632+F633+F634</f>
        <v>2804.1</v>
      </c>
      <c r="G631" s="160">
        <f>G632+G633+G634</f>
        <v>2756.6000000000004</v>
      </c>
      <c r="H631" s="160"/>
      <c r="I631" s="160">
        <f>I632+I633+I634</f>
        <v>2756.6000000000004</v>
      </c>
      <c r="J631" s="160">
        <f>J632+J633+J634</f>
        <v>2756.6000000000004</v>
      </c>
      <c r="K631" s="160"/>
      <c r="L631" s="160">
        <f>L632+L633+L634</f>
        <v>2756.6000000000004</v>
      </c>
    </row>
    <row r="632" spans="1:12" ht="51.75" x14ac:dyDescent="0.25">
      <c r="A632" s="158"/>
      <c r="B632" s="157" t="s">
        <v>30</v>
      </c>
      <c r="C632" s="159" t="s">
        <v>450</v>
      </c>
      <c r="D632" s="469">
        <v>2504.9</v>
      </c>
      <c r="E632" s="470"/>
      <c r="F632" s="469">
        <f>SUM(D632:E632)</f>
        <v>2504.9</v>
      </c>
      <c r="G632" s="160">
        <v>2517.3000000000002</v>
      </c>
      <c r="H632" s="160"/>
      <c r="I632" s="160">
        <v>2517.3000000000002</v>
      </c>
      <c r="J632" s="160">
        <v>2517.3000000000002</v>
      </c>
      <c r="K632" s="160"/>
      <c r="L632" s="160">
        <v>2517.3000000000002</v>
      </c>
    </row>
    <row r="633" spans="1:12" ht="26.25" x14ac:dyDescent="0.25">
      <c r="A633" s="158"/>
      <c r="B633" s="157" t="s">
        <v>17</v>
      </c>
      <c r="C633" s="159" t="s">
        <v>18</v>
      </c>
      <c r="D633" s="470">
        <v>159</v>
      </c>
      <c r="E633" s="470"/>
      <c r="F633" s="470">
        <f>SUM(D633:E633)</f>
        <v>159</v>
      </c>
      <c r="G633" s="160">
        <v>159</v>
      </c>
      <c r="H633" s="160"/>
      <c r="I633" s="160">
        <v>159</v>
      </c>
      <c r="J633" s="160">
        <v>159</v>
      </c>
      <c r="K633" s="160"/>
      <c r="L633" s="160">
        <v>159</v>
      </c>
    </row>
    <row r="634" spans="1:12" x14ac:dyDescent="0.25">
      <c r="A634" s="158"/>
      <c r="B634" s="192" t="s">
        <v>32</v>
      </c>
      <c r="C634" s="195" t="s">
        <v>33</v>
      </c>
      <c r="D634" s="470">
        <v>140.19999999999999</v>
      </c>
      <c r="E634" s="470"/>
      <c r="F634" s="470">
        <f>SUM(D634:E634)</f>
        <v>140.19999999999999</v>
      </c>
      <c r="G634" s="160">
        <v>80.3</v>
      </c>
      <c r="H634" s="160"/>
      <c r="I634" s="160">
        <v>80.3</v>
      </c>
      <c r="J634" s="160">
        <v>80.3</v>
      </c>
      <c r="K634" s="160"/>
      <c r="L634" s="160">
        <v>80.3</v>
      </c>
    </row>
    <row r="635" spans="1:12" ht="26.25" x14ac:dyDescent="0.25">
      <c r="A635" s="157" t="s">
        <v>387</v>
      </c>
      <c r="B635" s="157"/>
      <c r="C635" s="162" t="s">
        <v>388</v>
      </c>
      <c r="D635" s="470">
        <f>D636+D637</f>
        <v>13644.5</v>
      </c>
      <c r="E635" s="470">
        <f>E636+E637</f>
        <v>0</v>
      </c>
      <c r="F635" s="470">
        <f>F636+F637</f>
        <v>13644.5</v>
      </c>
      <c r="G635" s="160">
        <f>G636+G637</f>
        <v>13159.9</v>
      </c>
      <c r="H635" s="160"/>
      <c r="I635" s="160">
        <f>I636+I637</f>
        <v>13159.9</v>
      </c>
      <c r="J635" s="160">
        <f>J636+J637</f>
        <v>13159.9</v>
      </c>
      <c r="K635" s="160"/>
      <c r="L635" s="160">
        <f>L636+L637</f>
        <v>13159.9</v>
      </c>
    </row>
    <row r="636" spans="1:12" ht="51.75" x14ac:dyDescent="0.25">
      <c r="A636" s="157"/>
      <c r="B636" s="157" t="s">
        <v>30</v>
      </c>
      <c r="C636" s="159" t="s">
        <v>450</v>
      </c>
      <c r="D636" s="473">
        <v>12705.1</v>
      </c>
      <c r="E636" s="473"/>
      <c r="F636" s="473">
        <f>SUM(D636:E636)</f>
        <v>12705.1</v>
      </c>
      <c r="G636" s="29">
        <v>12224.9</v>
      </c>
      <c r="H636" s="29"/>
      <c r="I636" s="29">
        <v>12224.9</v>
      </c>
      <c r="J636" s="29">
        <v>12224.9</v>
      </c>
      <c r="K636" s="29"/>
      <c r="L636" s="29">
        <v>12224.9</v>
      </c>
    </row>
    <row r="637" spans="1:12" ht="26.25" x14ac:dyDescent="0.25">
      <c r="A637" s="157"/>
      <c r="B637" s="157" t="s">
        <v>17</v>
      </c>
      <c r="C637" s="159" t="s">
        <v>18</v>
      </c>
      <c r="D637" s="470">
        <v>939.4</v>
      </c>
      <c r="E637" s="470"/>
      <c r="F637" s="470">
        <f>SUM(D637:E637)</f>
        <v>939.4</v>
      </c>
      <c r="G637" s="160">
        <v>935</v>
      </c>
      <c r="H637" s="160"/>
      <c r="I637" s="160">
        <v>935</v>
      </c>
      <c r="J637" s="160">
        <v>935</v>
      </c>
      <c r="K637" s="160"/>
      <c r="L637" s="160">
        <v>935</v>
      </c>
    </row>
    <row r="638" spans="1:12" ht="39" x14ac:dyDescent="0.25">
      <c r="A638" s="157" t="s">
        <v>478</v>
      </c>
      <c r="B638" s="157"/>
      <c r="C638" s="159" t="s">
        <v>69</v>
      </c>
      <c r="D638" s="470">
        <f>D639</f>
        <v>90</v>
      </c>
      <c r="E638" s="470">
        <f>E639</f>
        <v>4.194</v>
      </c>
      <c r="F638" s="470">
        <f>F639</f>
        <v>94.194000000000003</v>
      </c>
      <c r="G638" s="160">
        <f t="shared" ref="G638:L638" si="96">G639</f>
        <v>115</v>
      </c>
      <c r="H638" s="160"/>
      <c r="I638" s="160">
        <f t="shared" si="96"/>
        <v>115</v>
      </c>
      <c r="J638" s="160">
        <f t="shared" si="96"/>
        <v>106</v>
      </c>
      <c r="K638" s="160"/>
      <c r="L638" s="160">
        <f t="shared" si="96"/>
        <v>106</v>
      </c>
    </row>
    <row r="639" spans="1:12" ht="51.75" x14ac:dyDescent="0.25">
      <c r="A639" s="157"/>
      <c r="B639" s="157" t="s">
        <v>30</v>
      </c>
      <c r="C639" s="159" t="s">
        <v>450</v>
      </c>
      <c r="D639" s="470">
        <v>90</v>
      </c>
      <c r="E639" s="470">
        <v>4.194</v>
      </c>
      <c r="F639" s="470">
        <f>SUM(D639:E639)</f>
        <v>94.194000000000003</v>
      </c>
      <c r="G639" s="160">
        <v>115</v>
      </c>
      <c r="H639" s="160"/>
      <c r="I639" s="160">
        <v>115</v>
      </c>
      <c r="J639" s="160">
        <v>106</v>
      </c>
      <c r="K639" s="160"/>
      <c r="L639" s="160">
        <v>106</v>
      </c>
    </row>
    <row r="640" spans="1:12" ht="25.5" x14ac:dyDescent="0.25">
      <c r="A640" s="449" t="s">
        <v>1169</v>
      </c>
      <c r="B640" s="449"/>
      <c r="C640" s="28" t="s">
        <v>1168</v>
      </c>
      <c r="D640" s="470">
        <f>D641</f>
        <v>79</v>
      </c>
      <c r="E640" s="470"/>
      <c r="F640" s="470">
        <f>F641</f>
        <v>79</v>
      </c>
      <c r="G640" s="160"/>
      <c r="H640" s="160"/>
      <c r="I640" s="160">
        <v>0</v>
      </c>
      <c r="J640" s="160"/>
      <c r="K640" s="160"/>
      <c r="L640" s="160">
        <v>0</v>
      </c>
    </row>
    <row r="641" spans="1:12" ht="51.75" x14ac:dyDescent="0.25">
      <c r="A641" s="449"/>
      <c r="B641" s="449" t="s">
        <v>30</v>
      </c>
      <c r="C641" s="159" t="s">
        <v>450</v>
      </c>
      <c r="D641" s="470">
        <v>79</v>
      </c>
      <c r="E641" s="470"/>
      <c r="F641" s="470">
        <v>79</v>
      </c>
      <c r="G641" s="160"/>
      <c r="H641" s="160"/>
      <c r="I641" s="160">
        <v>0</v>
      </c>
      <c r="J641" s="160"/>
      <c r="K641" s="160"/>
      <c r="L641" s="160">
        <v>0</v>
      </c>
    </row>
    <row r="642" spans="1:12" ht="51.75" x14ac:dyDescent="0.25">
      <c r="A642" s="157" t="s">
        <v>389</v>
      </c>
      <c r="B642" s="157"/>
      <c r="C642" s="159" t="s">
        <v>390</v>
      </c>
      <c r="D642" s="470">
        <f>D643</f>
        <v>7828.1</v>
      </c>
      <c r="E642" s="470">
        <f>E643</f>
        <v>0</v>
      </c>
      <c r="F642" s="470">
        <f>F643</f>
        <v>7828.1</v>
      </c>
      <c r="G642" s="160">
        <f>G643</f>
        <v>7638.5</v>
      </c>
      <c r="H642" s="160"/>
      <c r="I642" s="160">
        <f>I643</f>
        <v>7638.5</v>
      </c>
      <c r="J642" s="160">
        <f>J643</f>
        <v>7638.5</v>
      </c>
      <c r="K642" s="160"/>
      <c r="L642" s="160">
        <f>L643</f>
        <v>7638.5</v>
      </c>
    </row>
    <row r="643" spans="1:12" ht="51.75" x14ac:dyDescent="0.25">
      <c r="A643" s="157"/>
      <c r="B643" s="157" t="s">
        <v>30</v>
      </c>
      <c r="C643" s="159" t="s">
        <v>450</v>
      </c>
      <c r="D643" s="470">
        <v>7828.1</v>
      </c>
      <c r="E643" s="470"/>
      <c r="F643" s="470">
        <f>SUM(D643:E643)</f>
        <v>7828.1</v>
      </c>
      <c r="G643" s="160">
        <v>7638.5</v>
      </c>
      <c r="H643" s="160"/>
      <c r="I643" s="160">
        <v>7638.5</v>
      </c>
      <c r="J643" s="160">
        <v>7638.5</v>
      </c>
      <c r="K643" s="160"/>
      <c r="L643" s="160">
        <v>7638.5</v>
      </c>
    </row>
    <row r="644" spans="1:12" ht="26.25" x14ac:dyDescent="0.25">
      <c r="A644" s="157" t="s">
        <v>391</v>
      </c>
      <c r="B644" s="157"/>
      <c r="C644" s="162" t="s">
        <v>392</v>
      </c>
      <c r="D644" s="470">
        <f>D645+D646+D647</f>
        <v>29201.200000000001</v>
      </c>
      <c r="E644" s="470">
        <f>E645+E646+E647</f>
        <v>0</v>
      </c>
      <c r="F644" s="470">
        <f>F645+F646+F647</f>
        <v>29201.200000000001</v>
      </c>
      <c r="G644" s="160">
        <f>G645+G646+G647</f>
        <v>24392.9</v>
      </c>
      <c r="H644" s="160"/>
      <c r="I644" s="160">
        <f>I645+I646+I647</f>
        <v>24392.9</v>
      </c>
      <c r="J644" s="160">
        <f>J645+J646+J647</f>
        <v>26467.599999999999</v>
      </c>
      <c r="K644" s="160"/>
      <c r="L644" s="160">
        <f>L645+L646+L647</f>
        <v>26467.599999999999</v>
      </c>
    </row>
    <row r="645" spans="1:12" ht="51.75" x14ac:dyDescent="0.25">
      <c r="A645" s="157"/>
      <c r="B645" s="157" t="s">
        <v>30</v>
      </c>
      <c r="C645" s="159" t="s">
        <v>450</v>
      </c>
      <c r="D645" s="470">
        <v>14780</v>
      </c>
      <c r="E645" s="470"/>
      <c r="F645" s="470">
        <f>SUM(D645:E645)</f>
        <v>14780</v>
      </c>
      <c r="G645" s="38">
        <v>12455.7</v>
      </c>
      <c r="H645" s="38"/>
      <c r="I645" s="38">
        <v>12455.7</v>
      </c>
      <c r="J645" s="38">
        <v>12455.7</v>
      </c>
      <c r="K645" s="38"/>
      <c r="L645" s="38">
        <v>12455.7</v>
      </c>
    </row>
    <row r="646" spans="1:12" ht="26.25" x14ac:dyDescent="0.25">
      <c r="A646" s="157"/>
      <c r="B646" s="157" t="s">
        <v>17</v>
      </c>
      <c r="C646" s="159" t="s">
        <v>18</v>
      </c>
      <c r="D646" s="470">
        <v>13800.3</v>
      </c>
      <c r="E646" s="470"/>
      <c r="F646" s="470">
        <f>SUM(D646:E646)</f>
        <v>13800.3</v>
      </c>
      <c r="G646" s="160">
        <f>13496.8-1313.9-258.8-497.7-4.3</f>
        <v>11422.1</v>
      </c>
      <c r="H646" s="160"/>
      <c r="I646" s="160">
        <f>13496.8-1313.9-258.8-497.7-4.3</f>
        <v>11422.1</v>
      </c>
      <c r="J646" s="160">
        <f>13496.8</f>
        <v>13496.8</v>
      </c>
      <c r="K646" s="160"/>
      <c r="L646" s="160">
        <f>13496.8</f>
        <v>13496.8</v>
      </c>
    </row>
    <row r="647" spans="1:12" x14ac:dyDescent="0.25">
      <c r="A647" s="157"/>
      <c r="B647" s="157" t="s">
        <v>32</v>
      </c>
      <c r="C647" s="159" t="s">
        <v>33</v>
      </c>
      <c r="D647" s="470">
        <v>620.9</v>
      </c>
      <c r="E647" s="470"/>
      <c r="F647" s="470">
        <f>SUM(D647:E647)</f>
        <v>620.9</v>
      </c>
      <c r="G647" s="160">
        <v>515.1</v>
      </c>
      <c r="H647" s="160"/>
      <c r="I647" s="160">
        <v>515.1</v>
      </c>
      <c r="J647" s="160">
        <v>515.1</v>
      </c>
      <c r="K647" s="160"/>
      <c r="L647" s="160">
        <v>515.1</v>
      </c>
    </row>
    <row r="648" spans="1:12" x14ac:dyDescent="0.25">
      <c r="A648" s="27" t="s">
        <v>393</v>
      </c>
      <c r="B648" s="27"/>
      <c r="C648" s="28" t="s">
        <v>394</v>
      </c>
      <c r="D648" s="470">
        <f>D649</f>
        <v>1197.8</v>
      </c>
      <c r="E648" s="470"/>
      <c r="F648" s="470">
        <f>F649</f>
        <v>1197.8</v>
      </c>
      <c r="G648" s="160"/>
      <c r="H648" s="160"/>
      <c r="I648" s="160">
        <v>0</v>
      </c>
      <c r="J648" s="160"/>
      <c r="K648" s="160"/>
      <c r="L648" s="160">
        <v>0</v>
      </c>
    </row>
    <row r="649" spans="1:12" ht="25.5" x14ac:dyDescent="0.25">
      <c r="A649" s="27"/>
      <c r="B649" s="27" t="s">
        <v>17</v>
      </c>
      <c r="C649" s="28" t="s">
        <v>18</v>
      </c>
      <c r="D649" s="470">
        <v>1197.8</v>
      </c>
      <c r="E649" s="470"/>
      <c r="F649" s="470">
        <v>1197.8</v>
      </c>
      <c r="G649" s="160"/>
      <c r="H649" s="160"/>
      <c r="I649" s="160">
        <v>0</v>
      </c>
      <c r="J649" s="160"/>
      <c r="K649" s="160"/>
      <c r="L649" s="160">
        <v>0</v>
      </c>
    </row>
    <row r="650" spans="1:12" ht="25.5" x14ac:dyDescent="0.25">
      <c r="A650" s="157" t="s">
        <v>399</v>
      </c>
      <c r="B650" s="192"/>
      <c r="C650" s="188" t="s">
        <v>400</v>
      </c>
      <c r="D650" s="470">
        <f>D651</f>
        <v>908.2</v>
      </c>
      <c r="E650" s="470">
        <f>E651</f>
        <v>0</v>
      </c>
      <c r="F650" s="470">
        <f>F651</f>
        <v>908.2</v>
      </c>
      <c r="G650" s="160">
        <f>G651</f>
        <v>979.5</v>
      </c>
      <c r="H650" s="160"/>
      <c r="I650" s="160">
        <f>I651</f>
        <v>979.5</v>
      </c>
      <c r="J650" s="160">
        <f>J651</f>
        <v>0</v>
      </c>
      <c r="K650" s="160"/>
      <c r="L650" s="160">
        <f>L651</f>
        <v>0</v>
      </c>
    </row>
    <row r="651" spans="1:12" x14ac:dyDescent="0.25">
      <c r="A651" s="157"/>
      <c r="B651" s="192" t="s">
        <v>32</v>
      </c>
      <c r="C651" s="188" t="s">
        <v>33</v>
      </c>
      <c r="D651" s="470">
        <v>908.2</v>
      </c>
      <c r="E651" s="470"/>
      <c r="F651" s="470">
        <f>SUM(D651:E651)</f>
        <v>908.2</v>
      </c>
      <c r="G651" s="160">
        <v>979.5</v>
      </c>
      <c r="H651" s="160"/>
      <c r="I651" s="160">
        <v>979.5</v>
      </c>
      <c r="J651" s="160">
        <v>0</v>
      </c>
      <c r="K651" s="160"/>
      <c r="L651" s="160">
        <v>0</v>
      </c>
    </row>
    <row r="652" spans="1:12" ht="26.25" x14ac:dyDescent="0.25">
      <c r="A652" s="157" t="s">
        <v>395</v>
      </c>
      <c r="B652" s="157"/>
      <c r="C652" s="162" t="s">
        <v>396</v>
      </c>
      <c r="D652" s="470">
        <f>D653</f>
        <v>130.80000000000001</v>
      </c>
      <c r="E652" s="470">
        <v>0</v>
      </c>
      <c r="F652" s="470">
        <v>130.80000000000001</v>
      </c>
      <c r="G652" s="160">
        <f>G653</f>
        <v>130.80000000000001</v>
      </c>
      <c r="H652" s="160"/>
      <c r="I652" s="160">
        <f>I653</f>
        <v>130.80000000000001</v>
      </c>
      <c r="J652" s="160">
        <f>J653</f>
        <v>130.80000000000001</v>
      </c>
      <c r="K652" s="160"/>
      <c r="L652" s="160">
        <f>L653</f>
        <v>130.80000000000001</v>
      </c>
    </row>
    <row r="653" spans="1:12" ht="26.25" x14ac:dyDescent="0.25">
      <c r="A653" s="157"/>
      <c r="B653" s="157" t="s">
        <v>17</v>
      </c>
      <c r="C653" s="159" t="s">
        <v>18</v>
      </c>
      <c r="D653" s="470">
        <v>130.80000000000001</v>
      </c>
      <c r="E653" s="470">
        <v>-130.80000000000001</v>
      </c>
      <c r="F653" s="470">
        <v>0</v>
      </c>
      <c r="G653" s="160">
        <v>130.80000000000001</v>
      </c>
      <c r="H653" s="160"/>
      <c r="I653" s="160">
        <v>130.80000000000001</v>
      </c>
      <c r="J653" s="160">
        <v>130.80000000000001</v>
      </c>
      <c r="K653" s="160"/>
      <c r="L653" s="160">
        <v>130.80000000000001</v>
      </c>
    </row>
    <row r="654" spans="1:12" ht="25.5" x14ac:dyDescent="0.25">
      <c r="A654" s="520"/>
      <c r="B654" s="520" t="s">
        <v>64</v>
      </c>
      <c r="C654" s="30" t="s">
        <v>65</v>
      </c>
      <c r="D654" s="470"/>
      <c r="E654" s="470">
        <v>130.80000000000001</v>
      </c>
      <c r="F654" s="470">
        <v>130.80000000000001</v>
      </c>
      <c r="G654" s="160"/>
      <c r="H654" s="160"/>
      <c r="I654" s="160"/>
      <c r="J654" s="160"/>
      <c r="K654" s="160"/>
      <c r="L654" s="160"/>
    </row>
    <row r="655" spans="1:12" ht="39" x14ac:dyDescent="0.25">
      <c r="A655" s="157" t="s">
        <v>449</v>
      </c>
      <c r="B655" s="157"/>
      <c r="C655" s="162" t="s">
        <v>397</v>
      </c>
      <c r="D655" s="470">
        <f t="shared" ref="D655:L655" si="97">D656</f>
        <v>4</v>
      </c>
      <c r="E655" s="470"/>
      <c r="F655" s="470">
        <f t="shared" si="97"/>
        <v>4</v>
      </c>
      <c r="G655" s="160">
        <f t="shared" si="97"/>
        <v>4.0999999999999996</v>
      </c>
      <c r="H655" s="160"/>
      <c r="I655" s="160">
        <f t="shared" si="97"/>
        <v>4.0999999999999996</v>
      </c>
      <c r="J655" s="160">
        <f t="shared" si="97"/>
        <v>4.0999999999999996</v>
      </c>
      <c r="K655" s="160"/>
      <c r="L655" s="160">
        <f t="shared" si="97"/>
        <v>4.0999999999999996</v>
      </c>
    </row>
    <row r="656" spans="1:12" ht="26.25" x14ac:dyDescent="0.25">
      <c r="A656" s="157"/>
      <c r="B656" s="157" t="s">
        <v>17</v>
      </c>
      <c r="C656" s="159" t="s">
        <v>18</v>
      </c>
      <c r="D656" s="470">
        <v>4</v>
      </c>
      <c r="E656" s="470"/>
      <c r="F656" s="470">
        <f>SUM(D656:E656)</f>
        <v>4</v>
      </c>
      <c r="G656" s="160">
        <v>4.0999999999999996</v>
      </c>
      <c r="H656" s="160"/>
      <c r="I656" s="160">
        <f>SUM(G656:H656)</f>
        <v>4.0999999999999996</v>
      </c>
      <c r="J656" s="160">
        <v>4.0999999999999996</v>
      </c>
      <c r="K656" s="160"/>
      <c r="L656" s="160">
        <f>SUM(J656:K656)</f>
        <v>4.0999999999999996</v>
      </c>
    </row>
    <row r="657" spans="1:12" ht="26.25" x14ac:dyDescent="0.25">
      <c r="A657" s="157" t="s">
        <v>398</v>
      </c>
      <c r="B657" s="157"/>
      <c r="C657" s="159" t="s">
        <v>809</v>
      </c>
      <c r="D657" s="470">
        <f>D658+D659+D660</f>
        <v>763</v>
      </c>
      <c r="E657" s="470">
        <f t="shared" ref="E657" si="98">E658+E659+E660</f>
        <v>0</v>
      </c>
      <c r="F657" s="470">
        <f>F658+F659+F660</f>
        <v>763</v>
      </c>
      <c r="G657" s="160">
        <f>G660</f>
        <v>793.5</v>
      </c>
      <c r="H657" s="160"/>
      <c r="I657" s="160">
        <f>I660</f>
        <v>793.5</v>
      </c>
      <c r="J657" s="160">
        <f>J660</f>
        <v>825.3</v>
      </c>
      <c r="K657" s="160"/>
      <c r="L657" s="160">
        <f>L660</f>
        <v>825.3</v>
      </c>
    </row>
    <row r="658" spans="1:12" ht="25.5" x14ac:dyDescent="0.25">
      <c r="A658" s="449"/>
      <c r="B658" s="449" t="s">
        <v>17</v>
      </c>
      <c r="C658" s="30" t="s">
        <v>18</v>
      </c>
      <c r="D658" s="470">
        <v>128.19999999999999</v>
      </c>
      <c r="E658" s="470">
        <v>117.529</v>
      </c>
      <c r="F658" s="470">
        <f>D658+E658</f>
        <v>245.72899999999998</v>
      </c>
      <c r="G658" s="160"/>
      <c r="H658" s="160"/>
      <c r="I658" s="160">
        <v>0</v>
      </c>
      <c r="J658" s="160"/>
      <c r="K658" s="160"/>
      <c r="L658" s="160">
        <v>0</v>
      </c>
    </row>
    <row r="659" spans="1:12" x14ac:dyDescent="0.25">
      <c r="A659" s="449"/>
      <c r="B659" s="449" t="s">
        <v>37</v>
      </c>
      <c r="C659" s="28" t="s">
        <v>38</v>
      </c>
      <c r="D659" s="470">
        <v>234.8</v>
      </c>
      <c r="E659" s="470">
        <v>-5.8999999999999997E-2</v>
      </c>
      <c r="F659" s="470">
        <f>D659+E659</f>
        <v>234.74100000000001</v>
      </c>
      <c r="G659" s="160"/>
      <c r="H659" s="160"/>
      <c r="I659" s="160">
        <v>0</v>
      </c>
      <c r="J659" s="160"/>
      <c r="K659" s="160"/>
      <c r="L659" s="160">
        <v>0</v>
      </c>
    </row>
    <row r="660" spans="1:12" x14ac:dyDescent="0.25">
      <c r="A660" s="157"/>
      <c r="B660" s="157" t="s">
        <v>32</v>
      </c>
      <c r="C660" s="159" t="s">
        <v>33</v>
      </c>
      <c r="D660" s="470">
        <v>400</v>
      </c>
      <c r="E660" s="470">
        <v>-117.47</v>
      </c>
      <c r="F660" s="470">
        <f>SUM(D660:E660)</f>
        <v>282.52999999999997</v>
      </c>
      <c r="G660" s="160">
        <v>793.5</v>
      </c>
      <c r="H660" s="160"/>
      <c r="I660" s="160">
        <v>793.5</v>
      </c>
      <c r="J660" s="160">
        <v>825.3</v>
      </c>
      <c r="K660" s="160"/>
      <c r="L660" s="160">
        <v>825.3</v>
      </c>
    </row>
    <row r="661" spans="1:12" ht="26.25" x14ac:dyDescent="0.25">
      <c r="A661" s="157" t="s">
        <v>401</v>
      </c>
      <c r="B661" s="157"/>
      <c r="C661" s="159" t="s">
        <v>402</v>
      </c>
      <c r="D661" s="469">
        <f>D662</f>
        <v>300</v>
      </c>
      <c r="E661" s="469"/>
      <c r="F661" s="469">
        <f>F662</f>
        <v>300</v>
      </c>
      <c r="G661" s="160">
        <f>G662</f>
        <v>0</v>
      </c>
      <c r="H661" s="160"/>
      <c r="I661" s="160">
        <f>I662</f>
        <v>0</v>
      </c>
      <c r="J661" s="160">
        <f>J662</f>
        <v>0</v>
      </c>
      <c r="K661" s="160"/>
      <c r="L661" s="160">
        <f>L662</f>
        <v>0</v>
      </c>
    </row>
    <row r="662" spans="1:12" ht="26.25" x14ac:dyDescent="0.25">
      <c r="A662" s="157"/>
      <c r="B662" s="157" t="s">
        <v>17</v>
      </c>
      <c r="C662" s="159" t="s">
        <v>18</v>
      </c>
      <c r="D662" s="469">
        <v>300</v>
      </c>
      <c r="E662" s="469"/>
      <c r="F662" s="469">
        <v>300</v>
      </c>
      <c r="G662" s="160">
        <v>0</v>
      </c>
      <c r="H662" s="160"/>
      <c r="I662" s="160">
        <v>0</v>
      </c>
      <c r="J662" s="160">
        <v>0</v>
      </c>
      <c r="K662" s="160"/>
      <c r="L662" s="160">
        <v>0</v>
      </c>
    </row>
    <row r="663" spans="1:12" ht="30" customHeight="1" x14ac:dyDescent="0.25">
      <c r="A663" s="157" t="s">
        <v>403</v>
      </c>
      <c r="B663" s="157"/>
      <c r="C663" s="159" t="s">
        <v>404</v>
      </c>
      <c r="D663" s="469">
        <f>D664</f>
        <v>240</v>
      </c>
      <c r="E663" s="469"/>
      <c r="F663" s="469">
        <f>F664</f>
        <v>240</v>
      </c>
      <c r="G663" s="160">
        <f>G664</f>
        <v>0</v>
      </c>
      <c r="H663" s="160"/>
      <c r="I663" s="160">
        <f>I664</f>
        <v>0</v>
      </c>
      <c r="J663" s="160">
        <f>J664</f>
        <v>0</v>
      </c>
      <c r="K663" s="160"/>
      <c r="L663" s="160">
        <f>L664</f>
        <v>0</v>
      </c>
    </row>
    <row r="664" spans="1:12" x14ac:dyDescent="0.25">
      <c r="A664" s="157"/>
      <c r="B664" s="157" t="s">
        <v>32</v>
      </c>
      <c r="C664" s="159" t="s">
        <v>33</v>
      </c>
      <c r="D664" s="469">
        <v>240</v>
      </c>
      <c r="E664" s="469"/>
      <c r="F664" s="469">
        <v>240</v>
      </c>
      <c r="G664" s="160">
        <v>0</v>
      </c>
      <c r="H664" s="160"/>
      <c r="I664" s="160">
        <v>0</v>
      </c>
      <c r="J664" s="160">
        <v>0</v>
      </c>
      <c r="K664" s="160"/>
      <c r="L664" s="160">
        <v>0</v>
      </c>
    </row>
    <row r="665" spans="1:12" s="184" customFormat="1" ht="56.25" customHeight="1" x14ac:dyDescent="0.25">
      <c r="A665" s="14" t="s">
        <v>1068</v>
      </c>
      <c r="B665" s="27"/>
      <c r="C665" s="28" t="s">
        <v>1069</v>
      </c>
      <c r="D665" s="469">
        <f>D666</f>
        <v>271</v>
      </c>
      <c r="E665" s="469"/>
      <c r="F665" s="469">
        <f>F666</f>
        <v>271</v>
      </c>
      <c r="G665" s="160"/>
      <c r="H665" s="160"/>
      <c r="I665" s="160">
        <v>0</v>
      </c>
      <c r="J665" s="160"/>
      <c r="K665" s="160"/>
      <c r="L665" s="160">
        <v>0</v>
      </c>
    </row>
    <row r="666" spans="1:12" s="184" customFormat="1" ht="30" customHeight="1" x14ac:dyDescent="0.25">
      <c r="A666" s="7"/>
      <c r="B666" s="27" t="s">
        <v>17</v>
      </c>
      <c r="C666" s="28" t="s">
        <v>18</v>
      </c>
      <c r="D666" s="469">
        <v>271</v>
      </c>
      <c r="E666" s="469"/>
      <c r="F666" s="469">
        <v>271</v>
      </c>
      <c r="G666" s="160"/>
      <c r="H666" s="160"/>
      <c r="I666" s="160">
        <v>0</v>
      </c>
      <c r="J666" s="160"/>
      <c r="K666" s="160"/>
      <c r="L666" s="160">
        <v>0</v>
      </c>
    </row>
    <row r="667" spans="1:12" s="184" customFormat="1" ht="51" x14ac:dyDescent="0.25">
      <c r="A667" s="193" t="s">
        <v>1070</v>
      </c>
      <c r="B667" s="192"/>
      <c r="C667" s="188" t="s">
        <v>1071</v>
      </c>
      <c r="D667" s="469">
        <f>D668</f>
        <v>1177.4000000000001</v>
      </c>
      <c r="E667" s="470">
        <f>E668</f>
        <v>-27</v>
      </c>
      <c r="F667" s="470">
        <f>F668</f>
        <v>1150.4000000000001</v>
      </c>
      <c r="G667" s="160"/>
      <c r="H667" s="160"/>
      <c r="I667" s="160">
        <v>0</v>
      </c>
      <c r="J667" s="160"/>
      <c r="K667" s="160"/>
      <c r="L667" s="160">
        <v>0</v>
      </c>
    </row>
    <row r="668" spans="1:12" s="184" customFormat="1" ht="30" customHeight="1" x14ac:dyDescent="0.25">
      <c r="A668" s="7"/>
      <c r="B668" s="27" t="s">
        <v>17</v>
      </c>
      <c r="C668" s="28" t="s">
        <v>18</v>
      </c>
      <c r="D668" s="469">
        <v>1177.4000000000001</v>
      </c>
      <c r="E668" s="470">
        <v>-27</v>
      </c>
      <c r="F668" s="470">
        <f>SUM(D668:E668)</f>
        <v>1150.4000000000001</v>
      </c>
      <c r="G668" s="160"/>
      <c r="H668" s="160"/>
      <c r="I668" s="160">
        <v>0</v>
      </c>
      <c r="J668" s="160"/>
      <c r="K668" s="160"/>
      <c r="L668" s="160">
        <v>0</v>
      </c>
    </row>
    <row r="669" spans="1:12" s="184" customFormat="1" ht="39" x14ac:dyDescent="0.25">
      <c r="A669" s="193" t="s">
        <v>1172</v>
      </c>
      <c r="B669" s="27"/>
      <c r="C669" s="159" t="s">
        <v>1176</v>
      </c>
      <c r="D669" s="469">
        <v>590</v>
      </c>
      <c r="E669" s="470"/>
      <c r="F669" s="470">
        <v>590</v>
      </c>
      <c r="G669" s="160"/>
      <c r="H669" s="160"/>
      <c r="I669" s="160">
        <v>0</v>
      </c>
      <c r="J669" s="160"/>
      <c r="K669" s="160"/>
      <c r="L669" s="160">
        <v>0</v>
      </c>
    </row>
    <row r="670" spans="1:12" s="184" customFormat="1" ht="30" customHeight="1" x14ac:dyDescent="0.25">
      <c r="A670" s="7"/>
      <c r="B670" s="27" t="s">
        <v>17</v>
      </c>
      <c r="C670" s="28" t="s">
        <v>18</v>
      </c>
      <c r="D670" s="469">
        <v>590</v>
      </c>
      <c r="E670" s="470"/>
      <c r="F670" s="470">
        <v>590</v>
      </c>
      <c r="G670" s="160"/>
      <c r="H670" s="160"/>
      <c r="I670" s="160">
        <v>0</v>
      </c>
      <c r="J670" s="160"/>
      <c r="K670" s="160"/>
      <c r="L670" s="160">
        <v>0</v>
      </c>
    </row>
    <row r="671" spans="1:12" s="184" customFormat="1" ht="38.25" x14ac:dyDescent="0.25">
      <c r="A671" s="193" t="s">
        <v>1296</v>
      </c>
      <c r="B671" s="27"/>
      <c r="C671" s="28" t="s">
        <v>1298</v>
      </c>
      <c r="D671" s="469"/>
      <c r="E671" s="470">
        <v>293.8</v>
      </c>
      <c r="F671" s="470">
        <v>293.8</v>
      </c>
      <c r="G671" s="160"/>
      <c r="H671" s="160"/>
      <c r="I671" s="160"/>
      <c r="J671" s="160"/>
      <c r="K671" s="160"/>
      <c r="L671" s="160"/>
    </row>
    <row r="672" spans="1:12" s="184" customFormat="1" ht="30" customHeight="1" x14ac:dyDescent="0.25">
      <c r="A672" s="7"/>
      <c r="B672" s="27" t="s">
        <v>17</v>
      </c>
      <c r="C672" s="28" t="s">
        <v>18</v>
      </c>
      <c r="D672" s="469"/>
      <c r="E672" s="470">
        <v>293.8</v>
      </c>
      <c r="F672" s="470">
        <v>293.8</v>
      </c>
      <c r="G672" s="160"/>
      <c r="H672" s="160"/>
      <c r="I672" s="160"/>
      <c r="J672" s="160"/>
      <c r="K672" s="160"/>
      <c r="L672" s="160"/>
    </row>
    <row r="673" spans="1:13" ht="39" x14ac:dyDescent="0.25">
      <c r="A673" s="157" t="s">
        <v>406</v>
      </c>
      <c r="B673" s="157"/>
      <c r="C673" s="159" t="s">
        <v>407</v>
      </c>
      <c r="D673" s="470">
        <f>D674</f>
        <v>158.9</v>
      </c>
      <c r="E673" s="470">
        <f>E674</f>
        <v>-8.6999999999999994E-2</v>
      </c>
      <c r="F673" s="470">
        <f>F674</f>
        <v>158.81300000000002</v>
      </c>
      <c r="G673" s="160">
        <f>G674</f>
        <v>0</v>
      </c>
      <c r="H673" s="160"/>
      <c r="I673" s="160">
        <f>I674</f>
        <v>0</v>
      </c>
      <c r="J673" s="160">
        <f>J674</f>
        <v>0</v>
      </c>
      <c r="K673" s="160"/>
      <c r="L673" s="160">
        <f>L674</f>
        <v>0</v>
      </c>
    </row>
    <row r="674" spans="1:13" x14ac:dyDescent="0.25">
      <c r="A674" s="157"/>
      <c r="B674" s="157" t="s">
        <v>32</v>
      </c>
      <c r="C674" s="159" t="s">
        <v>33</v>
      </c>
      <c r="D674" s="470">
        <f>D675</f>
        <v>158.9</v>
      </c>
      <c r="E674" s="470">
        <f>E675</f>
        <v>-8.6999999999999994E-2</v>
      </c>
      <c r="F674" s="470">
        <f>SUM(D674:E674)</f>
        <v>158.81300000000002</v>
      </c>
      <c r="G674" s="160">
        <f>SUM(G675:G675)</f>
        <v>0</v>
      </c>
      <c r="H674" s="160"/>
      <c r="I674" s="160">
        <f>SUM(I675:I675)</f>
        <v>0</v>
      </c>
      <c r="J674" s="160">
        <f>SUM(J675:J675)</f>
        <v>0</v>
      </c>
      <c r="K674" s="160"/>
      <c r="L674" s="160">
        <f>SUM(L675:L675)</f>
        <v>0</v>
      </c>
    </row>
    <row r="675" spans="1:13" x14ac:dyDescent="0.25">
      <c r="A675" s="157"/>
      <c r="B675" s="157"/>
      <c r="C675" s="159" t="s">
        <v>191</v>
      </c>
      <c r="D675" s="470">
        <v>158.9</v>
      </c>
      <c r="E675" s="470">
        <f>-0.087</f>
        <v>-8.6999999999999994E-2</v>
      </c>
      <c r="F675" s="470">
        <f>SUM(D675:E675)</f>
        <v>158.81300000000002</v>
      </c>
      <c r="G675" s="160">
        <v>0</v>
      </c>
      <c r="H675" s="160"/>
      <c r="I675" s="160">
        <v>0</v>
      </c>
      <c r="J675" s="160">
        <v>0</v>
      </c>
      <c r="K675" s="160"/>
      <c r="L675" s="160">
        <v>0</v>
      </c>
    </row>
    <row r="676" spans="1:13" ht="25.5" x14ac:dyDescent="0.25">
      <c r="A676" s="46" t="s">
        <v>1081</v>
      </c>
      <c r="B676" s="46"/>
      <c r="C676" s="47" t="s">
        <v>1082</v>
      </c>
      <c r="D676" s="470">
        <f>D677</f>
        <v>112.5</v>
      </c>
      <c r="E676" s="470">
        <f>E677</f>
        <v>0</v>
      </c>
      <c r="F676" s="470">
        <f>F677</f>
        <v>112.5</v>
      </c>
      <c r="G676" s="160"/>
      <c r="H676" s="160"/>
      <c r="I676" s="160">
        <v>0</v>
      </c>
      <c r="J676" s="160"/>
      <c r="K676" s="160"/>
      <c r="L676" s="160">
        <v>0</v>
      </c>
    </row>
    <row r="677" spans="1:13" ht="38.25" x14ac:dyDescent="0.25">
      <c r="A677" s="46"/>
      <c r="B677" s="46" t="s">
        <v>30</v>
      </c>
      <c r="C677" s="47" t="s">
        <v>1083</v>
      </c>
      <c r="D677" s="470">
        <v>112.5</v>
      </c>
      <c r="E677" s="470"/>
      <c r="F677" s="470">
        <f>SUM(D677:E677)</f>
        <v>112.5</v>
      </c>
      <c r="G677" s="160"/>
      <c r="H677" s="160"/>
      <c r="I677" s="160">
        <v>0</v>
      </c>
      <c r="J677" s="160"/>
      <c r="K677" s="160"/>
      <c r="L677" s="160">
        <v>0</v>
      </c>
    </row>
    <row r="678" spans="1:13" ht="25.5" x14ac:dyDescent="0.25">
      <c r="A678" s="46" t="s">
        <v>1104</v>
      </c>
      <c r="B678" s="46"/>
      <c r="C678" s="28" t="s">
        <v>1105</v>
      </c>
      <c r="D678" s="470">
        <f>D679</f>
        <v>0</v>
      </c>
      <c r="E678" s="470">
        <f>E679</f>
        <v>4.8000000000000001E-2</v>
      </c>
      <c r="F678" s="470">
        <f>F679</f>
        <v>4.8000000000000001E-2</v>
      </c>
      <c r="G678" s="160"/>
      <c r="H678" s="160"/>
      <c r="I678" s="160">
        <v>0</v>
      </c>
      <c r="J678" s="160"/>
      <c r="K678" s="160"/>
      <c r="L678" s="160">
        <v>0</v>
      </c>
    </row>
    <row r="679" spans="1:13" x14ac:dyDescent="0.25">
      <c r="A679" s="46"/>
      <c r="B679" s="9" t="s">
        <v>32</v>
      </c>
      <c r="C679" s="28" t="s">
        <v>33</v>
      </c>
      <c r="D679" s="470">
        <v>0</v>
      </c>
      <c r="E679" s="470">
        <f>E680</f>
        <v>4.8000000000000001E-2</v>
      </c>
      <c r="F679" s="470">
        <f>F680</f>
        <v>4.8000000000000001E-2</v>
      </c>
      <c r="G679" s="160"/>
      <c r="H679" s="160"/>
      <c r="I679" s="160">
        <v>0</v>
      </c>
      <c r="J679" s="160"/>
      <c r="K679" s="160"/>
      <c r="L679" s="160">
        <v>0</v>
      </c>
    </row>
    <row r="680" spans="1:13" x14ac:dyDescent="0.25">
      <c r="A680" s="46"/>
      <c r="B680" s="9"/>
      <c r="C680" s="159" t="s">
        <v>191</v>
      </c>
      <c r="D680" s="470">
        <v>0</v>
      </c>
      <c r="E680" s="470">
        <v>4.8000000000000001E-2</v>
      </c>
      <c r="F680" s="470">
        <v>4.8000000000000001E-2</v>
      </c>
      <c r="G680" s="160"/>
      <c r="H680" s="160"/>
      <c r="I680" s="160">
        <v>0</v>
      </c>
      <c r="J680" s="160"/>
      <c r="K680" s="160"/>
      <c r="L680" s="160">
        <v>0</v>
      </c>
    </row>
    <row r="681" spans="1:13" ht="26.25" x14ac:dyDescent="0.25">
      <c r="A681" s="46" t="s">
        <v>1157</v>
      </c>
      <c r="B681" s="9"/>
      <c r="C681" s="159" t="s">
        <v>1156</v>
      </c>
      <c r="D681" s="470">
        <v>2000</v>
      </c>
      <c r="E681" s="470">
        <v>0</v>
      </c>
      <c r="F681" s="470">
        <f>F682</f>
        <v>2000</v>
      </c>
      <c r="G681" s="160"/>
      <c r="H681" s="160"/>
      <c r="I681" s="160">
        <v>0</v>
      </c>
      <c r="J681" s="160"/>
      <c r="K681" s="160"/>
      <c r="L681" s="160">
        <v>0</v>
      </c>
    </row>
    <row r="682" spans="1:13" ht="25.5" x14ac:dyDescent="0.25">
      <c r="A682" s="46"/>
      <c r="B682" s="27" t="s">
        <v>17</v>
      </c>
      <c r="C682" s="28" t="s">
        <v>18</v>
      </c>
      <c r="D682" s="470">
        <v>2000</v>
      </c>
      <c r="E682" s="470">
        <v>0</v>
      </c>
      <c r="F682" s="470">
        <v>2000</v>
      </c>
      <c r="G682" s="160"/>
      <c r="H682" s="160"/>
      <c r="I682" s="160">
        <v>0</v>
      </c>
      <c r="J682" s="160"/>
      <c r="K682" s="160"/>
      <c r="L682" s="160">
        <v>0</v>
      </c>
    </row>
    <row r="683" spans="1:13" ht="26.25" x14ac:dyDescent="0.25">
      <c r="A683" s="46" t="s">
        <v>1174</v>
      </c>
      <c r="B683" s="27"/>
      <c r="C683" s="159" t="s">
        <v>1173</v>
      </c>
      <c r="D683" s="470">
        <f>D684</f>
        <v>55.1</v>
      </c>
      <c r="E683" s="470"/>
      <c r="F683" s="470">
        <f>F684</f>
        <v>55.1</v>
      </c>
      <c r="G683" s="160"/>
      <c r="H683" s="160"/>
      <c r="I683" s="160">
        <v>0</v>
      </c>
      <c r="J683" s="160"/>
      <c r="K683" s="160"/>
      <c r="L683" s="160">
        <v>0</v>
      </c>
    </row>
    <row r="684" spans="1:13" ht="25.5" x14ac:dyDescent="0.25">
      <c r="A684" s="46"/>
      <c r="B684" s="27" t="s">
        <v>17</v>
      </c>
      <c r="C684" s="28" t="s">
        <v>18</v>
      </c>
      <c r="D684" s="470">
        <v>55.1</v>
      </c>
      <c r="E684" s="470"/>
      <c r="F684" s="470">
        <v>55.1</v>
      </c>
      <c r="G684" s="160"/>
      <c r="H684" s="160"/>
      <c r="I684" s="160">
        <v>0</v>
      </c>
      <c r="J684" s="160"/>
      <c r="K684" s="160"/>
      <c r="L684" s="160">
        <v>0</v>
      </c>
    </row>
    <row r="685" spans="1:13" x14ac:dyDescent="0.25">
      <c r="A685" s="221"/>
      <c r="B685" s="221"/>
      <c r="C685" s="215" t="s">
        <v>408</v>
      </c>
      <c r="D685" s="489">
        <f t="shared" ref="D685:L685" si="99">D7+D621</f>
        <v>909413.7</v>
      </c>
      <c r="E685" s="489">
        <f t="shared" si="99"/>
        <v>2260.5009999999984</v>
      </c>
      <c r="F685" s="489">
        <f>F7+F621-0.003</f>
        <v>911674.20099999965</v>
      </c>
      <c r="G685" s="222">
        <f t="shared" si="99"/>
        <v>783118.59999999986</v>
      </c>
      <c r="H685" s="222">
        <f t="shared" si="99"/>
        <v>2334.5</v>
      </c>
      <c r="I685" s="222">
        <f t="shared" si="99"/>
        <v>785453.09999999974</v>
      </c>
      <c r="J685" s="222">
        <f t="shared" si="99"/>
        <v>726056.9</v>
      </c>
      <c r="K685" s="222">
        <f t="shared" si="99"/>
        <v>0</v>
      </c>
      <c r="L685" s="222">
        <f t="shared" si="99"/>
        <v>726056.9</v>
      </c>
      <c r="M685" s="141"/>
    </row>
    <row r="686" spans="1:13" ht="14.45" x14ac:dyDescent="0.3">
      <c r="C686" s="223" t="s">
        <v>5</v>
      </c>
      <c r="G686" s="224"/>
      <c r="H686" s="224"/>
      <c r="I686" s="224"/>
      <c r="J686" s="224"/>
      <c r="K686" s="224"/>
      <c r="L686" s="224"/>
    </row>
    <row r="687" spans="1:13" ht="14.45" x14ac:dyDescent="0.3">
      <c r="D687" s="547">
        <f>D37+D40+D43+D45+D51+D53+D55+D58+D61+D77+D80+D94+D98+D109+D111+D113+D116+D122+D126+D152+D163+D166+D171+D177+D195+D212+D217+D218+D227+D229+D231+D237+D260+D293+D303+D304+D308+D309+D318+D319+D325+D332+D342+D346+D351+D372+D393+D394+D398+D399+D419+D422+D425+D443+D471+D481+D490+D499+D515+D516+D521+D531+D603+D604+D608+D619+D638+D640+D642+D652+D655+D673+D676+D678+D681</f>
        <v>490862.09999999969</v>
      </c>
      <c r="E687" s="547">
        <f>E37+E40+E43+E45+E51+E53+E55+E58+E61+E77+E80+E94+E98+E109+E111+E113+E116+E122+E126+E152+E163+E166+E171+E177+E195+E212+E217+E218+E227+E229+E231+E237+E260+E293+E303+E304+E308+E309+E318+E319+E325+E332+E342+E346+E351+E372+E393+E394+E398+E399+E419+E422+E425+E443+E471+E481+E490+E499+E515+E516+E521+E531+E603+E604+E608+E619+E638+E640+E642+E652+E655+E673+E676+E678+E681</f>
        <v>2220.3509999999983</v>
      </c>
      <c r="F687" s="547">
        <f t="shared" ref="F687" si="100">F37+F40+F43+F45+F51+F53+F55+F58+F61+F77+F80+F94+F98+F109+F111+F113+F116+F122+F126+F152+F163+F166+F171+F177+F195+F212+F217+F218+F227+F229+F231+F237+F260+F293+F303+F304+F308+F309+F318+F319+F325+F332+F342+F346+F351+F372+F393+F394+F398+F399+F419+F422+F425+F443+F471+F481+F490+F499+F515+F516+F521+F531+F603+F604+F608+F619+F638+F640+F642+F652+F655+F673+F676+F678+F681</f>
        <v>493082.45099999994</v>
      </c>
    </row>
    <row r="688" spans="1:13" ht="14.45" x14ac:dyDescent="0.3">
      <c r="E688" s="547">
        <f>E23+E26+E101+E105+E107+E124+E148+E178+E219+E238+E244+E261+E294+E305+E310+E311+E313+E336+E340+E347+E352+E395+E400+E420+E429+E432+E444+E463+E472+E482+E491+E500+E504+E506+E517+E522+E532+E599+E605+E609+E620+E631+E652+E566+E667</f>
        <v>-204.97999999999988</v>
      </c>
    </row>
    <row r="689" spans="4:9" x14ac:dyDescent="0.25">
      <c r="D689" s="547">
        <f t="shared" ref="D689:E689" si="101">D77+D80+D94+D109+D111+D163+D638+D640+D642</f>
        <v>256535.3</v>
      </c>
      <c r="E689" s="547">
        <f t="shared" si="101"/>
        <v>6225.5800000000008</v>
      </c>
      <c r="F689" s="547">
        <f>F77+F80+F94+F109+F111+F163+F638+F640+F642</f>
        <v>262760.88</v>
      </c>
      <c r="I689" s="428" t="s">
        <v>1241</v>
      </c>
    </row>
  </sheetData>
  <autoFilter ref="A6:R686"/>
  <mergeCells count="5">
    <mergeCell ref="F1:L1"/>
    <mergeCell ref="F2:L2"/>
    <mergeCell ref="F3:L3"/>
    <mergeCell ref="A5:L5"/>
    <mergeCell ref="D4:L4"/>
  </mergeCells>
  <pageMargins left="1.1811023622047245" right="0.39370078740157483" top="0.19685039370078741" bottom="0.19685039370078741" header="0" footer="0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67"/>
  <sheetViews>
    <sheetView view="pageBreakPreview" topLeftCell="B523" zoomScale="87" zoomScaleNormal="84" zoomScaleSheetLayoutView="87" workbookViewId="0">
      <selection activeCell="H5" sqref="H5"/>
    </sheetView>
  </sheetViews>
  <sheetFormatPr defaultColWidth="9.140625" defaultRowHeight="15" x14ac:dyDescent="0.25"/>
  <cols>
    <col min="1" max="1" width="7.28515625" style="39" customWidth="1"/>
    <col min="2" max="2" width="9" style="39" customWidth="1"/>
    <col min="3" max="3" width="15.7109375" style="39" customWidth="1"/>
    <col min="4" max="4" width="7.85546875" style="39" customWidth="1"/>
    <col min="5" max="5" width="65.28515625" style="39" customWidth="1"/>
    <col min="6" max="6" width="15.42578125" style="39" hidden="1" customWidth="1"/>
    <col min="7" max="7" width="14.42578125" style="39" hidden="1" customWidth="1"/>
    <col min="8" max="8" width="14.85546875" style="39" customWidth="1"/>
    <col min="9" max="9" width="0.140625" style="39" customWidth="1"/>
    <col min="10" max="10" width="17.42578125" style="39" hidden="1" customWidth="1"/>
    <col min="11" max="11" width="14.85546875" style="39" customWidth="1"/>
    <col min="12" max="13" width="14.85546875" style="39" hidden="1" customWidth="1"/>
    <col min="14" max="15" width="14.85546875" style="39" customWidth="1"/>
    <col min="16" max="16384" width="9.140625" style="39"/>
  </cols>
  <sheetData>
    <row r="1" spans="1:22" ht="15.75" customHeight="1" x14ac:dyDescent="0.25">
      <c r="B1" s="35"/>
      <c r="C1" s="35"/>
      <c r="D1" s="35"/>
      <c r="E1" s="35"/>
      <c r="F1" s="645" t="s">
        <v>968</v>
      </c>
      <c r="G1" s="645"/>
      <c r="H1" s="645"/>
      <c r="I1" s="645"/>
      <c r="J1" s="645"/>
      <c r="K1" s="645"/>
      <c r="L1" s="645"/>
      <c r="M1" s="645"/>
      <c r="N1" s="645"/>
    </row>
    <row r="2" spans="1:22" ht="36.75" customHeight="1" x14ac:dyDescent="0.25">
      <c r="B2" s="35"/>
      <c r="C2" s="35"/>
      <c r="D2" s="35"/>
      <c r="E2" s="35"/>
      <c r="F2" s="646" t="s">
        <v>1202</v>
      </c>
      <c r="G2" s="646"/>
      <c r="H2" s="646"/>
      <c r="I2" s="646"/>
      <c r="J2" s="646"/>
      <c r="K2" s="646"/>
      <c r="L2" s="646"/>
      <c r="M2" s="646"/>
      <c r="N2" s="646"/>
    </row>
    <row r="3" spans="1:22" ht="15" customHeight="1" x14ac:dyDescent="0.25">
      <c r="A3" s="139"/>
      <c r="B3" s="139"/>
      <c r="C3" s="139"/>
      <c r="D3" s="139"/>
      <c r="E3" s="35"/>
      <c r="F3" s="35"/>
      <c r="G3" s="35"/>
      <c r="H3" s="641" t="s">
        <v>1304</v>
      </c>
      <c r="I3" s="641"/>
      <c r="J3" s="641"/>
      <c r="K3" s="641"/>
      <c r="L3" s="641"/>
      <c r="M3" s="641"/>
      <c r="N3" s="641"/>
      <c r="O3" s="454"/>
      <c r="P3" s="454"/>
      <c r="Q3" s="454"/>
      <c r="R3" s="454"/>
      <c r="S3" s="454"/>
      <c r="T3" s="454"/>
      <c r="U3" s="454"/>
      <c r="V3" s="454"/>
    </row>
    <row r="4" spans="1:22" ht="56.25" customHeight="1" x14ac:dyDescent="0.25">
      <c r="A4" s="644" t="s">
        <v>984</v>
      </c>
      <c r="B4" s="644"/>
      <c r="C4" s="644"/>
      <c r="D4" s="644"/>
      <c r="E4" s="644"/>
      <c r="F4" s="644"/>
      <c r="G4" s="644"/>
      <c r="H4" s="644"/>
      <c r="I4" s="644"/>
      <c r="J4" s="644"/>
      <c r="K4" s="644"/>
      <c r="L4" s="644"/>
      <c r="M4" s="644"/>
      <c r="N4" s="644"/>
    </row>
    <row r="5" spans="1:22" ht="89.25" x14ac:dyDescent="0.25">
      <c r="A5" s="225" t="s">
        <v>812</v>
      </c>
      <c r="B5" s="225" t="s">
        <v>813</v>
      </c>
      <c r="C5" s="225" t="s">
        <v>6</v>
      </c>
      <c r="D5" s="225" t="s">
        <v>7</v>
      </c>
      <c r="E5" s="225" t="s">
        <v>8</v>
      </c>
      <c r="F5" s="29" t="s">
        <v>814</v>
      </c>
      <c r="G5" s="29" t="s">
        <v>1067</v>
      </c>
      <c r="H5" s="29" t="s">
        <v>814</v>
      </c>
      <c r="I5" s="29" t="s">
        <v>2</v>
      </c>
      <c r="J5" s="29" t="s">
        <v>1067</v>
      </c>
      <c r="K5" s="29" t="s">
        <v>2</v>
      </c>
      <c r="L5" s="29" t="s">
        <v>743</v>
      </c>
      <c r="M5" s="29" t="s">
        <v>1067</v>
      </c>
      <c r="N5" s="29" t="s">
        <v>743</v>
      </c>
    </row>
    <row r="6" spans="1:22" x14ac:dyDescent="0.25">
      <c r="A6" s="226">
        <v>601</v>
      </c>
      <c r="B6" s="226"/>
      <c r="C6" s="226"/>
      <c r="D6" s="226"/>
      <c r="E6" s="227" t="s">
        <v>815</v>
      </c>
      <c r="F6" s="490">
        <f>F7+F136+F144+F202+F513+F301+F484+F505</f>
        <v>389737</v>
      </c>
      <c r="G6" s="490">
        <f>G7+G136+G144+G202+G513+G301+G484+G505</f>
        <v>-4358.2790000000014</v>
      </c>
      <c r="H6" s="490">
        <f>H7+H136+H144+H202+H513+H301+H484+H505</f>
        <v>385378.72100000002</v>
      </c>
      <c r="I6" s="228">
        <f t="shared" ref="I6:N6" si="0">I7+I136+I144+I202+I513+I301+I484</f>
        <v>303927.60000000003</v>
      </c>
      <c r="J6" s="228">
        <f t="shared" si="0"/>
        <v>0</v>
      </c>
      <c r="K6" s="228">
        <f t="shared" si="0"/>
        <v>303927.60000000003</v>
      </c>
      <c r="L6" s="228">
        <f t="shared" si="0"/>
        <v>251194</v>
      </c>
      <c r="M6" s="228">
        <f t="shared" si="0"/>
        <v>0</v>
      </c>
      <c r="N6" s="228">
        <f t="shared" si="0"/>
        <v>251194</v>
      </c>
    </row>
    <row r="7" spans="1:22" x14ac:dyDescent="0.25">
      <c r="A7" s="229"/>
      <c r="B7" s="7" t="s">
        <v>816</v>
      </c>
      <c r="C7" s="230"/>
      <c r="D7" s="229"/>
      <c r="E7" s="231" t="s">
        <v>817</v>
      </c>
      <c r="F7" s="491">
        <f t="shared" ref="F7:N7" si="1">F8+F20+F65+F59</f>
        <v>98007.700000000012</v>
      </c>
      <c r="G7" s="491">
        <f t="shared" si="1"/>
        <v>1141.9379999999999</v>
      </c>
      <c r="H7" s="491">
        <f t="shared" si="1"/>
        <v>99149.638000000021</v>
      </c>
      <c r="I7" s="232">
        <f t="shared" si="1"/>
        <v>89309.6</v>
      </c>
      <c r="J7" s="232">
        <f t="shared" si="1"/>
        <v>0</v>
      </c>
      <c r="K7" s="232">
        <f t="shared" si="1"/>
        <v>89309.6</v>
      </c>
      <c r="L7" s="232">
        <f t="shared" si="1"/>
        <v>91375.2</v>
      </c>
      <c r="M7" s="232">
        <f t="shared" si="1"/>
        <v>0</v>
      </c>
      <c r="N7" s="232">
        <f t="shared" si="1"/>
        <v>91375.2</v>
      </c>
    </row>
    <row r="8" spans="1:22" ht="25.5" x14ac:dyDescent="0.25">
      <c r="A8" s="229"/>
      <c r="B8" s="7" t="s">
        <v>818</v>
      </c>
      <c r="C8" s="230"/>
      <c r="D8" s="229"/>
      <c r="E8" s="231" t="s">
        <v>819</v>
      </c>
      <c r="F8" s="491">
        <f>F9+F16</f>
        <v>2009.4</v>
      </c>
      <c r="G8" s="491">
        <f>G9+G16</f>
        <v>420.5</v>
      </c>
      <c r="H8" s="491">
        <f>H9+H16</f>
        <v>2429.9</v>
      </c>
      <c r="I8" s="232">
        <f t="shared" ref="F8:N9" si="2">I9</f>
        <v>1921.6</v>
      </c>
      <c r="J8" s="232"/>
      <c r="K8" s="232">
        <f t="shared" si="2"/>
        <v>1921.6</v>
      </c>
      <c r="L8" s="232">
        <f t="shared" si="2"/>
        <v>1921.6</v>
      </c>
      <c r="M8" s="232"/>
      <c r="N8" s="232">
        <f t="shared" si="2"/>
        <v>1921.6</v>
      </c>
    </row>
    <row r="9" spans="1:22" ht="25.5" x14ac:dyDescent="0.25">
      <c r="A9" s="229"/>
      <c r="B9" s="7"/>
      <c r="C9" s="230" t="s">
        <v>9</v>
      </c>
      <c r="D9" s="7"/>
      <c r="E9" s="233" t="s">
        <v>820</v>
      </c>
      <c r="F9" s="491">
        <f t="shared" si="2"/>
        <v>1896.9</v>
      </c>
      <c r="G9" s="491">
        <f t="shared" si="2"/>
        <v>420.5</v>
      </c>
      <c r="H9" s="491">
        <f t="shared" si="2"/>
        <v>2317.4</v>
      </c>
      <c r="I9" s="232">
        <f t="shared" si="2"/>
        <v>1921.6</v>
      </c>
      <c r="J9" s="232"/>
      <c r="K9" s="232">
        <f t="shared" si="2"/>
        <v>1921.6</v>
      </c>
      <c r="L9" s="232">
        <f t="shared" si="2"/>
        <v>1921.6</v>
      </c>
      <c r="M9" s="232"/>
      <c r="N9" s="232">
        <f t="shared" si="2"/>
        <v>1921.6</v>
      </c>
    </row>
    <row r="10" spans="1:22" ht="25.5" x14ac:dyDescent="0.25">
      <c r="A10" s="234"/>
      <c r="B10" s="235"/>
      <c r="C10" s="236" t="s">
        <v>11</v>
      </c>
      <c r="D10" s="235"/>
      <c r="E10" s="237" t="s">
        <v>12</v>
      </c>
      <c r="F10" s="492">
        <f>F12</f>
        <v>1896.9</v>
      </c>
      <c r="G10" s="492">
        <f>G12</f>
        <v>420.5</v>
      </c>
      <c r="H10" s="492">
        <f>H12</f>
        <v>2317.4</v>
      </c>
      <c r="I10" s="238">
        <f>I12</f>
        <v>1921.6</v>
      </c>
      <c r="J10" s="238"/>
      <c r="K10" s="238">
        <f>K12</f>
        <v>1921.6</v>
      </c>
      <c r="L10" s="238">
        <f>L12</f>
        <v>1921.6</v>
      </c>
      <c r="M10" s="238"/>
      <c r="N10" s="238">
        <f>N12</f>
        <v>1921.6</v>
      </c>
    </row>
    <row r="11" spans="1:22" ht="25.5" x14ac:dyDescent="0.25">
      <c r="A11" s="294"/>
      <c r="B11" s="287"/>
      <c r="C11" s="288" t="s">
        <v>26</v>
      </c>
      <c r="D11" s="287"/>
      <c r="E11" s="295" t="s">
        <v>27</v>
      </c>
      <c r="F11" s="493">
        <f t="shared" ref="F11:N13" si="3">F12</f>
        <v>1896.9</v>
      </c>
      <c r="G11" s="493">
        <f t="shared" si="3"/>
        <v>420.5</v>
      </c>
      <c r="H11" s="493">
        <f t="shared" si="3"/>
        <v>2317.4</v>
      </c>
      <c r="I11" s="290">
        <f t="shared" si="3"/>
        <v>1921.6</v>
      </c>
      <c r="J11" s="290"/>
      <c r="K11" s="290">
        <f t="shared" si="3"/>
        <v>1921.6</v>
      </c>
      <c r="L11" s="290">
        <f t="shared" si="3"/>
        <v>1921.6</v>
      </c>
      <c r="M11" s="290"/>
      <c r="N11" s="290">
        <f t="shared" si="3"/>
        <v>1921.6</v>
      </c>
    </row>
    <row r="12" spans="1:22" ht="38.25" x14ac:dyDescent="0.25">
      <c r="A12" s="244"/>
      <c r="B12" s="34"/>
      <c r="C12" s="245" t="s">
        <v>28</v>
      </c>
      <c r="D12" s="34"/>
      <c r="E12" s="246" t="s">
        <v>466</v>
      </c>
      <c r="F12" s="494">
        <f t="shared" si="3"/>
        <v>1896.9</v>
      </c>
      <c r="G12" s="494">
        <f>G13+G15</f>
        <v>420.5</v>
      </c>
      <c r="H12" s="494">
        <f>H13+H15</f>
        <v>2317.4</v>
      </c>
      <c r="I12" s="247">
        <f t="shared" si="3"/>
        <v>1921.6</v>
      </c>
      <c r="J12" s="247"/>
      <c r="K12" s="247">
        <f t="shared" si="3"/>
        <v>1921.6</v>
      </c>
      <c r="L12" s="247">
        <f t="shared" si="3"/>
        <v>1921.6</v>
      </c>
      <c r="M12" s="247"/>
      <c r="N12" s="247">
        <f t="shared" si="3"/>
        <v>1921.6</v>
      </c>
    </row>
    <row r="13" spans="1:22" ht="25.5" x14ac:dyDescent="0.25">
      <c r="A13" s="225"/>
      <c r="B13" s="27"/>
      <c r="C13" s="248" t="s">
        <v>29</v>
      </c>
      <c r="D13" s="27"/>
      <c r="E13" s="30" t="s">
        <v>986</v>
      </c>
      <c r="F13" s="472">
        <f t="shared" si="3"/>
        <v>1896.9</v>
      </c>
      <c r="G13" s="472">
        <f t="shared" si="3"/>
        <v>393.4</v>
      </c>
      <c r="H13" s="472">
        <f t="shared" si="3"/>
        <v>2290.3000000000002</v>
      </c>
      <c r="I13" s="29">
        <f t="shared" si="3"/>
        <v>1921.6</v>
      </c>
      <c r="J13" s="29"/>
      <c r="K13" s="29">
        <f t="shared" si="3"/>
        <v>1921.6</v>
      </c>
      <c r="L13" s="29">
        <f t="shared" si="3"/>
        <v>1921.6</v>
      </c>
      <c r="M13" s="29"/>
      <c r="N13" s="29">
        <f t="shared" si="3"/>
        <v>1921.6</v>
      </c>
    </row>
    <row r="14" spans="1:22" ht="39" x14ac:dyDescent="0.25">
      <c r="A14" s="225"/>
      <c r="B14" s="27"/>
      <c r="C14" s="248"/>
      <c r="D14" s="27" t="s">
        <v>30</v>
      </c>
      <c r="E14" s="26" t="s">
        <v>450</v>
      </c>
      <c r="F14" s="472">
        <v>1896.9</v>
      </c>
      <c r="G14" s="473">
        <f>-27.1+167.7+252.8</f>
        <v>393.4</v>
      </c>
      <c r="H14" s="472">
        <f>SUM(F14:G14)</f>
        <v>2290.3000000000002</v>
      </c>
      <c r="I14" s="29">
        <v>1921.6</v>
      </c>
      <c r="J14" s="29"/>
      <c r="K14" s="29">
        <v>1921.6</v>
      </c>
      <c r="L14" s="29">
        <v>1921.6</v>
      </c>
      <c r="M14" s="29"/>
      <c r="N14" s="29">
        <v>1921.6</v>
      </c>
      <c r="O14" s="43"/>
      <c r="P14" s="43"/>
      <c r="Q14" s="43"/>
    </row>
    <row r="15" spans="1:22" x14ac:dyDescent="0.25">
      <c r="A15" s="225"/>
      <c r="B15" s="27"/>
      <c r="C15" s="248"/>
      <c r="D15" s="27" t="s">
        <v>37</v>
      </c>
      <c r="E15" s="28" t="s">
        <v>38</v>
      </c>
      <c r="F15" s="472"/>
      <c r="G15" s="473">
        <v>27.1</v>
      </c>
      <c r="H15" s="472">
        <v>27.1</v>
      </c>
      <c r="I15" s="29"/>
      <c r="J15" s="29"/>
      <c r="K15" s="29"/>
      <c r="L15" s="29"/>
      <c r="M15" s="29"/>
      <c r="N15" s="29"/>
      <c r="O15" s="43"/>
      <c r="P15" s="43"/>
      <c r="Q15" s="43"/>
    </row>
    <row r="16" spans="1:22" x14ac:dyDescent="0.25">
      <c r="A16" s="229"/>
      <c r="B16" s="7"/>
      <c r="C16" s="230" t="s">
        <v>825</v>
      </c>
      <c r="D16" s="7"/>
      <c r="E16" s="233" t="s">
        <v>1114</v>
      </c>
      <c r="F16" s="491">
        <f t="shared" ref="F16:H18" si="4">F17</f>
        <v>112.5</v>
      </c>
      <c r="G16" s="491">
        <f t="shared" si="4"/>
        <v>0</v>
      </c>
      <c r="H16" s="491">
        <f t="shared" si="4"/>
        <v>112.5</v>
      </c>
      <c r="I16" s="232"/>
      <c r="J16" s="232"/>
      <c r="K16" s="232">
        <v>0</v>
      </c>
      <c r="L16" s="232"/>
      <c r="M16" s="232"/>
      <c r="N16" s="232">
        <v>0</v>
      </c>
      <c r="O16" s="43"/>
      <c r="P16" s="43"/>
      <c r="Q16" s="43"/>
    </row>
    <row r="17" spans="1:17" ht="38.25" x14ac:dyDescent="0.25">
      <c r="A17" s="229"/>
      <c r="B17" s="7"/>
      <c r="C17" s="230" t="s">
        <v>383</v>
      </c>
      <c r="D17" s="7"/>
      <c r="E17" s="233" t="s">
        <v>1113</v>
      </c>
      <c r="F17" s="491">
        <f t="shared" si="4"/>
        <v>112.5</v>
      </c>
      <c r="G17" s="491">
        <f t="shared" si="4"/>
        <v>0</v>
      </c>
      <c r="H17" s="491">
        <f t="shared" si="4"/>
        <v>112.5</v>
      </c>
      <c r="I17" s="232"/>
      <c r="J17" s="232"/>
      <c r="K17" s="232">
        <v>0</v>
      </c>
      <c r="L17" s="232"/>
      <c r="M17" s="232"/>
      <c r="N17" s="232">
        <v>0</v>
      </c>
      <c r="O17" s="43"/>
      <c r="P17" s="43"/>
      <c r="Q17" s="43"/>
    </row>
    <row r="18" spans="1:17" ht="25.5" x14ac:dyDescent="0.25">
      <c r="A18" s="229"/>
      <c r="B18" s="7"/>
      <c r="C18" s="46" t="s">
        <v>1081</v>
      </c>
      <c r="D18" s="46"/>
      <c r="E18" s="47" t="s">
        <v>1082</v>
      </c>
      <c r="F18" s="472">
        <f t="shared" si="4"/>
        <v>112.5</v>
      </c>
      <c r="G18" s="472">
        <f t="shared" si="4"/>
        <v>0</v>
      </c>
      <c r="H18" s="472">
        <f t="shared" si="4"/>
        <v>112.5</v>
      </c>
      <c r="I18" s="29"/>
      <c r="J18" s="29"/>
      <c r="K18" s="29">
        <v>0</v>
      </c>
      <c r="L18" s="29"/>
      <c r="M18" s="29"/>
      <c r="N18" s="29">
        <v>0</v>
      </c>
      <c r="O18" s="43"/>
      <c r="P18" s="43"/>
      <c r="Q18" s="43"/>
    </row>
    <row r="19" spans="1:17" ht="25.5" x14ac:dyDescent="0.25">
      <c r="A19" s="225"/>
      <c r="B19" s="27"/>
      <c r="C19" s="46"/>
      <c r="D19" s="46" t="s">
        <v>30</v>
      </c>
      <c r="E19" s="47" t="s">
        <v>1083</v>
      </c>
      <c r="F19" s="472">
        <v>112.5</v>
      </c>
      <c r="G19" s="472"/>
      <c r="H19" s="472">
        <f>SUM(F19:G19)</f>
        <v>112.5</v>
      </c>
      <c r="I19" s="29"/>
      <c r="J19" s="29"/>
      <c r="K19" s="29">
        <v>0</v>
      </c>
      <c r="L19" s="29"/>
      <c r="M19" s="29"/>
      <c r="N19" s="29">
        <v>0</v>
      </c>
      <c r="O19" s="43"/>
      <c r="P19" s="43"/>
      <c r="Q19" s="43"/>
    </row>
    <row r="20" spans="1:17" ht="38.25" x14ac:dyDescent="0.25">
      <c r="A20" s="229"/>
      <c r="B20" s="7" t="s">
        <v>821</v>
      </c>
      <c r="C20" s="230"/>
      <c r="D20" s="229"/>
      <c r="E20" s="231" t="s">
        <v>822</v>
      </c>
      <c r="F20" s="491">
        <f t="shared" ref="F20:N20" si="5">F21+F55</f>
        <v>40016.700000000004</v>
      </c>
      <c r="G20" s="491">
        <f t="shared" si="5"/>
        <v>681.3</v>
      </c>
      <c r="H20" s="491">
        <f t="shared" si="5"/>
        <v>40698</v>
      </c>
      <c r="I20" s="232">
        <f t="shared" si="5"/>
        <v>40453.199999999997</v>
      </c>
      <c r="J20" s="232">
        <f t="shared" si="5"/>
        <v>0</v>
      </c>
      <c r="K20" s="232">
        <f t="shared" si="5"/>
        <v>40453.199999999997</v>
      </c>
      <c r="L20" s="232">
        <f t="shared" si="5"/>
        <v>40453.199999999997</v>
      </c>
      <c r="M20" s="232">
        <f t="shared" si="5"/>
        <v>0</v>
      </c>
      <c r="N20" s="232">
        <f t="shared" si="5"/>
        <v>40453.199999999997</v>
      </c>
    </row>
    <row r="21" spans="1:17" ht="25.5" x14ac:dyDescent="0.25">
      <c r="A21" s="229"/>
      <c r="B21" s="7"/>
      <c r="C21" s="230" t="s">
        <v>9</v>
      </c>
      <c r="D21" s="229"/>
      <c r="E21" s="233" t="s">
        <v>10</v>
      </c>
      <c r="F21" s="491">
        <f t="shared" ref="F21:N21" si="6">F22+F50</f>
        <v>40012.700000000004</v>
      </c>
      <c r="G21" s="491">
        <f t="shared" si="6"/>
        <v>681.3</v>
      </c>
      <c r="H21" s="491">
        <f t="shared" si="6"/>
        <v>40694</v>
      </c>
      <c r="I21" s="232">
        <f t="shared" si="6"/>
        <v>40449.1</v>
      </c>
      <c r="J21" s="232">
        <f t="shared" si="6"/>
        <v>0</v>
      </c>
      <c r="K21" s="232">
        <f t="shared" si="6"/>
        <v>40449.1</v>
      </c>
      <c r="L21" s="232">
        <f t="shared" si="6"/>
        <v>40449.1</v>
      </c>
      <c r="M21" s="232">
        <f t="shared" si="6"/>
        <v>0</v>
      </c>
      <c r="N21" s="232">
        <f t="shared" si="6"/>
        <v>40449.1</v>
      </c>
    </row>
    <row r="22" spans="1:17" ht="25.5" x14ac:dyDescent="0.25">
      <c r="A22" s="234"/>
      <c r="B22" s="235"/>
      <c r="C22" s="236" t="s">
        <v>11</v>
      </c>
      <c r="D22" s="235"/>
      <c r="E22" s="237" t="s">
        <v>823</v>
      </c>
      <c r="F22" s="492">
        <f t="shared" ref="F22:N22" si="7">F23+F32</f>
        <v>39949.9</v>
      </c>
      <c r="G22" s="492">
        <f t="shared" si="7"/>
        <v>681.3</v>
      </c>
      <c r="H22" s="492">
        <f t="shared" si="7"/>
        <v>40631.199999999997</v>
      </c>
      <c r="I22" s="238">
        <f t="shared" si="7"/>
        <v>40384</v>
      </c>
      <c r="J22" s="238">
        <f t="shared" si="7"/>
        <v>0</v>
      </c>
      <c r="K22" s="238">
        <f t="shared" si="7"/>
        <v>40384</v>
      </c>
      <c r="L22" s="238">
        <f t="shared" si="7"/>
        <v>40384</v>
      </c>
      <c r="M22" s="238">
        <f t="shared" si="7"/>
        <v>0</v>
      </c>
      <c r="N22" s="238">
        <f t="shared" si="7"/>
        <v>40384</v>
      </c>
    </row>
    <row r="23" spans="1:17" ht="25.5" x14ac:dyDescent="0.25">
      <c r="A23" s="294"/>
      <c r="B23" s="287"/>
      <c r="C23" s="288" t="s">
        <v>26</v>
      </c>
      <c r="D23" s="287"/>
      <c r="E23" s="295" t="s">
        <v>27</v>
      </c>
      <c r="F23" s="493">
        <f t="shared" ref="F23:N23" si="8">F24</f>
        <v>38514.5</v>
      </c>
      <c r="G23" s="493">
        <f t="shared" si="8"/>
        <v>313.50000000000006</v>
      </c>
      <c r="H23" s="493">
        <f t="shared" si="8"/>
        <v>38828</v>
      </c>
      <c r="I23" s="290">
        <f t="shared" si="8"/>
        <v>38899</v>
      </c>
      <c r="J23" s="290">
        <f t="shared" si="8"/>
        <v>0</v>
      </c>
      <c r="K23" s="290">
        <f t="shared" si="8"/>
        <v>38899</v>
      </c>
      <c r="L23" s="290">
        <f t="shared" si="8"/>
        <v>38899</v>
      </c>
      <c r="M23" s="290">
        <f t="shared" si="8"/>
        <v>0</v>
      </c>
      <c r="N23" s="290">
        <f t="shared" si="8"/>
        <v>38899</v>
      </c>
    </row>
    <row r="24" spans="1:17" ht="38.25" x14ac:dyDescent="0.25">
      <c r="A24" s="249"/>
      <c r="B24" s="249"/>
      <c r="C24" s="245" t="s">
        <v>28</v>
      </c>
      <c r="D24" s="34"/>
      <c r="E24" s="246" t="s">
        <v>466</v>
      </c>
      <c r="F24" s="495">
        <f t="shared" ref="F24:N24" si="9">F25+F29</f>
        <v>38514.5</v>
      </c>
      <c r="G24" s="495">
        <f t="shared" si="9"/>
        <v>313.50000000000006</v>
      </c>
      <c r="H24" s="495">
        <f t="shared" si="9"/>
        <v>38828</v>
      </c>
      <c r="I24" s="250">
        <f t="shared" si="9"/>
        <v>38899</v>
      </c>
      <c r="J24" s="250">
        <f t="shared" si="9"/>
        <v>0</v>
      </c>
      <c r="K24" s="250">
        <f t="shared" si="9"/>
        <v>38899</v>
      </c>
      <c r="L24" s="250">
        <f t="shared" si="9"/>
        <v>38899</v>
      </c>
      <c r="M24" s="250">
        <f t="shared" si="9"/>
        <v>0</v>
      </c>
      <c r="N24" s="250">
        <f t="shared" si="9"/>
        <v>38899</v>
      </c>
    </row>
    <row r="25" spans="1:17" ht="25.5" x14ac:dyDescent="0.25">
      <c r="A25" s="251"/>
      <c r="B25" s="251"/>
      <c r="C25" s="248" t="s">
        <v>31</v>
      </c>
      <c r="D25" s="27"/>
      <c r="E25" s="28" t="s">
        <v>988</v>
      </c>
      <c r="F25" s="496">
        <f>F26+F27+F28</f>
        <v>38294.5</v>
      </c>
      <c r="G25" s="496">
        <f>G26+G27+G28</f>
        <v>313.50000000000006</v>
      </c>
      <c r="H25" s="496">
        <f>H26+H27+H28</f>
        <v>38608</v>
      </c>
      <c r="I25" s="252">
        <f>I26+I27</f>
        <v>38899</v>
      </c>
      <c r="J25" s="252"/>
      <c r="K25" s="252">
        <f>K26+K27</f>
        <v>38899</v>
      </c>
      <c r="L25" s="252">
        <f>L26+L27</f>
        <v>38899</v>
      </c>
      <c r="M25" s="252"/>
      <c r="N25" s="252">
        <f>N26+N27</f>
        <v>38899</v>
      </c>
    </row>
    <row r="26" spans="1:17" ht="39" x14ac:dyDescent="0.25">
      <c r="A26" s="225"/>
      <c r="B26" s="27"/>
      <c r="C26" s="248"/>
      <c r="D26" s="27" t="s">
        <v>30</v>
      </c>
      <c r="E26" s="26" t="s">
        <v>450</v>
      </c>
      <c r="F26" s="472">
        <v>36276.9</v>
      </c>
      <c r="G26" s="473">
        <f>428.3-140.6</f>
        <v>287.70000000000005</v>
      </c>
      <c r="H26" s="472">
        <f>SUM(F26:G26)</f>
        <v>36564.6</v>
      </c>
      <c r="I26" s="29">
        <v>36895.4</v>
      </c>
      <c r="J26" s="29"/>
      <c r="K26" s="29">
        <v>36895.4</v>
      </c>
      <c r="L26" s="29">
        <v>36895.4</v>
      </c>
      <c r="M26" s="29"/>
      <c r="N26" s="29">
        <v>36895.4</v>
      </c>
    </row>
    <row r="27" spans="1:17" ht="25.5" x14ac:dyDescent="0.25">
      <c r="A27" s="225"/>
      <c r="B27" s="27"/>
      <c r="C27" s="248"/>
      <c r="D27" s="27" t="s">
        <v>17</v>
      </c>
      <c r="E27" s="30" t="s">
        <v>18</v>
      </c>
      <c r="F27" s="472">
        <v>2003.6</v>
      </c>
      <c r="G27" s="473">
        <f>25.8</f>
        <v>25.8</v>
      </c>
      <c r="H27" s="472">
        <f>SUM(F27:G27)</f>
        <v>2029.3999999999999</v>
      </c>
      <c r="I27" s="29">
        <v>2003.6</v>
      </c>
      <c r="J27" s="29"/>
      <c r="K27" s="29">
        <v>2003.6</v>
      </c>
      <c r="L27" s="29">
        <v>2003.6</v>
      </c>
      <c r="M27" s="29"/>
      <c r="N27" s="29">
        <v>2003.6</v>
      </c>
    </row>
    <row r="28" spans="1:17" x14ac:dyDescent="0.25">
      <c r="A28" s="225"/>
      <c r="B28" s="27"/>
      <c r="C28" s="248"/>
      <c r="D28" s="27" t="s">
        <v>32</v>
      </c>
      <c r="E28" s="30" t="s">
        <v>33</v>
      </c>
      <c r="F28" s="472">
        <v>14</v>
      </c>
      <c r="G28" s="472"/>
      <c r="H28" s="472">
        <f>SUM(F28:G28)</f>
        <v>14</v>
      </c>
      <c r="I28" s="29"/>
      <c r="J28" s="29"/>
      <c r="K28" s="29">
        <v>0</v>
      </c>
      <c r="L28" s="29"/>
      <c r="M28" s="29"/>
      <c r="N28" s="29">
        <v>0</v>
      </c>
    </row>
    <row r="29" spans="1:17" ht="51" x14ac:dyDescent="0.25">
      <c r="A29" s="225"/>
      <c r="B29" s="27"/>
      <c r="C29" s="248" t="s">
        <v>34</v>
      </c>
      <c r="D29" s="27"/>
      <c r="E29" s="28" t="s">
        <v>987</v>
      </c>
      <c r="F29" s="472">
        <f>F31+F30</f>
        <v>220</v>
      </c>
      <c r="G29" s="472">
        <f>G31+G30</f>
        <v>0</v>
      </c>
      <c r="H29" s="472">
        <f>H31+H30</f>
        <v>220</v>
      </c>
      <c r="I29" s="29">
        <f>I31</f>
        <v>0</v>
      </c>
      <c r="J29" s="29"/>
      <c r="K29" s="29">
        <f>K31</f>
        <v>0</v>
      </c>
      <c r="L29" s="29">
        <f>L31</f>
        <v>0</v>
      </c>
      <c r="M29" s="29"/>
      <c r="N29" s="29">
        <f>N31</f>
        <v>0</v>
      </c>
    </row>
    <row r="30" spans="1:17" ht="39" x14ac:dyDescent="0.25">
      <c r="A30" s="225"/>
      <c r="B30" s="27"/>
      <c r="C30" s="248"/>
      <c r="D30" s="27" t="s">
        <v>30</v>
      </c>
      <c r="E30" s="26" t="s">
        <v>450</v>
      </c>
      <c r="F30" s="472">
        <v>120.5</v>
      </c>
      <c r="G30" s="472"/>
      <c r="H30" s="472">
        <v>120.5</v>
      </c>
      <c r="I30" s="29"/>
      <c r="J30" s="29"/>
      <c r="K30" s="29">
        <v>0</v>
      </c>
      <c r="L30" s="29"/>
      <c r="M30" s="29"/>
      <c r="N30" s="29">
        <v>0</v>
      </c>
    </row>
    <row r="31" spans="1:17" ht="25.5" x14ac:dyDescent="0.25">
      <c r="A31" s="225"/>
      <c r="B31" s="27"/>
      <c r="C31" s="248"/>
      <c r="D31" s="27" t="s">
        <v>17</v>
      </c>
      <c r="E31" s="30" t="s">
        <v>18</v>
      </c>
      <c r="F31" s="472">
        <v>99.5</v>
      </c>
      <c r="G31" s="472"/>
      <c r="H31" s="472">
        <v>99.5</v>
      </c>
      <c r="I31" s="29">
        <v>0</v>
      </c>
      <c r="J31" s="29"/>
      <c r="K31" s="29">
        <v>0</v>
      </c>
      <c r="L31" s="29">
        <v>0</v>
      </c>
      <c r="M31" s="29"/>
      <c r="N31" s="29">
        <v>0</v>
      </c>
    </row>
    <row r="32" spans="1:17" ht="38.25" x14ac:dyDescent="0.25">
      <c r="A32" s="294"/>
      <c r="B32" s="287"/>
      <c r="C32" s="288" t="s">
        <v>39</v>
      </c>
      <c r="D32" s="287"/>
      <c r="E32" s="295" t="s">
        <v>824</v>
      </c>
      <c r="F32" s="493">
        <f t="shared" ref="F32:N32" si="10">F33</f>
        <v>1435.3999999999999</v>
      </c>
      <c r="G32" s="493">
        <f t="shared" si="10"/>
        <v>367.79999999999995</v>
      </c>
      <c r="H32" s="493">
        <f t="shared" si="10"/>
        <v>1803.1999999999998</v>
      </c>
      <c r="I32" s="290">
        <f t="shared" si="10"/>
        <v>1485</v>
      </c>
      <c r="J32" s="290">
        <f t="shared" si="10"/>
        <v>0</v>
      </c>
      <c r="K32" s="290">
        <f t="shared" si="10"/>
        <v>1485</v>
      </c>
      <c r="L32" s="290">
        <f t="shared" si="10"/>
        <v>1485</v>
      </c>
      <c r="M32" s="290">
        <f t="shared" si="10"/>
        <v>0</v>
      </c>
      <c r="N32" s="290">
        <f t="shared" si="10"/>
        <v>1485</v>
      </c>
    </row>
    <row r="33" spans="1:14" ht="25.5" x14ac:dyDescent="0.25">
      <c r="A33" s="244"/>
      <c r="B33" s="34"/>
      <c r="C33" s="245" t="s">
        <v>41</v>
      </c>
      <c r="D33" s="34"/>
      <c r="E33" s="253" t="s">
        <v>972</v>
      </c>
      <c r="F33" s="494">
        <f t="shared" ref="F33:N33" si="11">F34+F37+F40+F45+F42</f>
        <v>1435.3999999999999</v>
      </c>
      <c r="G33" s="494">
        <f>G34+G37+G40+G45+G42+G47</f>
        <v>367.79999999999995</v>
      </c>
      <c r="H33" s="494">
        <f>H34+H37+H40+H45+H42+H47</f>
        <v>1803.1999999999998</v>
      </c>
      <c r="I33" s="247">
        <f t="shared" si="11"/>
        <v>1485</v>
      </c>
      <c r="J33" s="247">
        <f t="shared" si="11"/>
        <v>0</v>
      </c>
      <c r="K33" s="247">
        <f t="shared" si="11"/>
        <v>1485</v>
      </c>
      <c r="L33" s="247">
        <f t="shared" si="11"/>
        <v>1485</v>
      </c>
      <c r="M33" s="247">
        <f t="shared" si="11"/>
        <v>0</v>
      </c>
      <c r="N33" s="247">
        <f t="shared" si="11"/>
        <v>1485</v>
      </c>
    </row>
    <row r="34" spans="1:14" ht="25.5" x14ac:dyDescent="0.25">
      <c r="A34" s="251"/>
      <c r="B34" s="251"/>
      <c r="C34" s="248" t="s">
        <v>43</v>
      </c>
      <c r="D34" s="27"/>
      <c r="E34" s="30" t="s">
        <v>1192</v>
      </c>
      <c r="F34" s="472">
        <f>F35+F36</f>
        <v>861.3</v>
      </c>
      <c r="G34" s="472">
        <f t="shared" ref="G34:N34" si="12">G35+G36</f>
        <v>0</v>
      </c>
      <c r="H34" s="472">
        <f t="shared" si="12"/>
        <v>861.3</v>
      </c>
      <c r="I34" s="29">
        <f t="shared" si="12"/>
        <v>891.4</v>
      </c>
      <c r="J34" s="29">
        <f t="shared" si="12"/>
        <v>0</v>
      </c>
      <c r="K34" s="29">
        <f t="shared" si="12"/>
        <v>891.4</v>
      </c>
      <c r="L34" s="29">
        <f t="shared" si="12"/>
        <v>891.4</v>
      </c>
      <c r="M34" s="29">
        <f t="shared" si="12"/>
        <v>0</v>
      </c>
      <c r="N34" s="29">
        <f t="shared" si="12"/>
        <v>891.4</v>
      </c>
    </row>
    <row r="35" spans="1:14" ht="39" x14ac:dyDescent="0.25">
      <c r="A35" s="251"/>
      <c r="B35" s="251"/>
      <c r="C35" s="248"/>
      <c r="D35" s="27" t="s">
        <v>30</v>
      </c>
      <c r="E35" s="26" t="s">
        <v>450</v>
      </c>
      <c r="F35" s="475">
        <v>792.4</v>
      </c>
      <c r="G35" s="475"/>
      <c r="H35" s="475">
        <f>SUM(F35:G35)</f>
        <v>792.4</v>
      </c>
      <c r="I35" s="40">
        <v>822.6</v>
      </c>
      <c r="J35" s="40"/>
      <c r="K35" s="40">
        <f>SUM(I35:J35)</f>
        <v>822.6</v>
      </c>
      <c r="L35" s="40">
        <v>822.6</v>
      </c>
      <c r="M35" s="40"/>
      <c r="N35" s="40">
        <f>SUM(L35:M35)</f>
        <v>822.6</v>
      </c>
    </row>
    <row r="36" spans="1:14" ht="25.5" x14ac:dyDescent="0.25">
      <c r="A36" s="251"/>
      <c r="B36" s="251"/>
      <c r="C36" s="248"/>
      <c r="D36" s="27" t="s">
        <v>17</v>
      </c>
      <c r="E36" s="30" t="s">
        <v>18</v>
      </c>
      <c r="F36" s="475">
        <v>68.900000000000006</v>
      </c>
      <c r="G36" s="475"/>
      <c r="H36" s="475">
        <f>SUM(F36:G36)</f>
        <v>68.900000000000006</v>
      </c>
      <c r="I36" s="40">
        <v>68.8</v>
      </c>
      <c r="J36" s="40"/>
      <c r="K36" s="40">
        <v>68.8</v>
      </c>
      <c r="L36" s="40">
        <v>68.8</v>
      </c>
      <c r="M36" s="40"/>
      <c r="N36" s="40">
        <v>68.8</v>
      </c>
    </row>
    <row r="37" spans="1:14" ht="25.5" x14ac:dyDescent="0.25">
      <c r="A37" s="251"/>
      <c r="B37" s="251"/>
      <c r="C37" s="248" t="s">
        <v>44</v>
      </c>
      <c r="D37" s="27"/>
      <c r="E37" s="30" t="s">
        <v>45</v>
      </c>
      <c r="F37" s="472">
        <f>F38+F39</f>
        <v>495.8</v>
      </c>
      <c r="G37" s="472">
        <f t="shared" ref="G37:N37" si="13">G38+G39</f>
        <v>0</v>
      </c>
      <c r="H37" s="472">
        <f t="shared" si="13"/>
        <v>495.8</v>
      </c>
      <c r="I37" s="29">
        <f t="shared" si="13"/>
        <v>512.9</v>
      </c>
      <c r="J37" s="29">
        <f t="shared" si="13"/>
        <v>0</v>
      </c>
      <c r="K37" s="29">
        <f t="shared" si="13"/>
        <v>512.9</v>
      </c>
      <c r="L37" s="29">
        <f t="shared" si="13"/>
        <v>512.9</v>
      </c>
      <c r="M37" s="29">
        <f t="shared" si="13"/>
        <v>0</v>
      </c>
      <c r="N37" s="29">
        <f t="shared" si="13"/>
        <v>512.9</v>
      </c>
    </row>
    <row r="38" spans="1:14" ht="39" x14ac:dyDescent="0.25">
      <c r="A38" s="251"/>
      <c r="B38" s="251"/>
      <c r="C38" s="248"/>
      <c r="D38" s="27" t="s">
        <v>30</v>
      </c>
      <c r="E38" s="26" t="s">
        <v>450</v>
      </c>
      <c r="F38" s="496">
        <v>452.7</v>
      </c>
      <c r="G38" s="496"/>
      <c r="H38" s="496">
        <f>SUM(F38:G38)</f>
        <v>452.7</v>
      </c>
      <c r="I38" s="389">
        <v>469.8</v>
      </c>
      <c r="J38" s="389"/>
      <c r="K38" s="389">
        <f>SUM(I38:J38)</f>
        <v>469.8</v>
      </c>
      <c r="L38" s="389">
        <v>469.8</v>
      </c>
      <c r="M38" s="389"/>
      <c r="N38" s="389">
        <f>SUM(L38:M38)</f>
        <v>469.8</v>
      </c>
    </row>
    <row r="39" spans="1:14" ht="25.5" x14ac:dyDescent="0.25">
      <c r="A39" s="251"/>
      <c r="B39" s="251"/>
      <c r="C39" s="248"/>
      <c r="D39" s="27" t="s">
        <v>17</v>
      </c>
      <c r="E39" s="30" t="s">
        <v>18</v>
      </c>
      <c r="F39" s="496">
        <v>43.1</v>
      </c>
      <c r="G39" s="496"/>
      <c r="H39" s="496">
        <f>SUM(F39:G39)</f>
        <v>43.1</v>
      </c>
      <c r="I39" s="40">
        <v>43.1</v>
      </c>
      <c r="J39" s="40"/>
      <c r="K39" s="40">
        <v>43.1</v>
      </c>
      <c r="L39" s="40">
        <v>43.1</v>
      </c>
      <c r="M39" s="40"/>
      <c r="N39" s="40">
        <v>43.1</v>
      </c>
    </row>
    <row r="40" spans="1:14" x14ac:dyDescent="0.25">
      <c r="A40" s="225"/>
      <c r="B40" s="27"/>
      <c r="C40" s="248" t="s">
        <v>46</v>
      </c>
      <c r="D40" s="27"/>
      <c r="E40" s="30" t="s">
        <v>47</v>
      </c>
      <c r="F40" s="472">
        <f>F41</f>
        <v>17.5</v>
      </c>
      <c r="G40" s="472"/>
      <c r="H40" s="472">
        <f>H41</f>
        <v>17.5</v>
      </c>
      <c r="I40" s="29">
        <f>I41</f>
        <v>17.5</v>
      </c>
      <c r="J40" s="29"/>
      <c r="K40" s="29">
        <f>K41</f>
        <v>17.5</v>
      </c>
      <c r="L40" s="29">
        <f>L41</f>
        <v>17.5</v>
      </c>
      <c r="M40" s="29"/>
      <c r="N40" s="29">
        <f>N41</f>
        <v>17.5</v>
      </c>
    </row>
    <row r="41" spans="1:14" ht="25.5" x14ac:dyDescent="0.25">
      <c r="A41" s="225"/>
      <c r="B41" s="27"/>
      <c r="C41" s="248"/>
      <c r="D41" s="27" t="s">
        <v>17</v>
      </c>
      <c r="E41" s="30" t="s">
        <v>18</v>
      </c>
      <c r="F41" s="472">
        <f>'Приложение 2'!$L$44</f>
        <v>17.5</v>
      </c>
      <c r="G41" s="472"/>
      <c r="H41" s="472">
        <f>'Приложение 2'!$L$44</f>
        <v>17.5</v>
      </c>
      <c r="I41" s="29">
        <f>'Приложение 2'!$L$44</f>
        <v>17.5</v>
      </c>
      <c r="J41" s="29"/>
      <c r="K41" s="29">
        <f>'Приложение 2'!$L$44</f>
        <v>17.5</v>
      </c>
      <c r="L41" s="29">
        <f>'Приложение 2'!$L$44</f>
        <v>17.5</v>
      </c>
      <c r="M41" s="29"/>
      <c r="N41" s="29">
        <f>'Приложение 2'!$L$44</f>
        <v>17.5</v>
      </c>
    </row>
    <row r="42" spans="1:14" ht="25.5" x14ac:dyDescent="0.25">
      <c r="A42" s="225"/>
      <c r="B42" s="27"/>
      <c r="C42" s="248" t="s">
        <v>48</v>
      </c>
      <c r="D42" s="27"/>
      <c r="E42" s="30" t="s">
        <v>49</v>
      </c>
      <c r="F42" s="472">
        <f>F44+F43</f>
        <v>50</v>
      </c>
      <c r="G42" s="472">
        <f t="shared" ref="G42:N42" si="14">G44+G43</f>
        <v>0</v>
      </c>
      <c r="H42" s="472">
        <f t="shared" si="14"/>
        <v>50</v>
      </c>
      <c r="I42" s="29">
        <f t="shared" si="14"/>
        <v>51.900000000000006</v>
      </c>
      <c r="J42" s="29">
        <f t="shared" si="14"/>
        <v>0</v>
      </c>
      <c r="K42" s="29">
        <f t="shared" si="14"/>
        <v>51.900000000000006</v>
      </c>
      <c r="L42" s="29">
        <f t="shared" si="14"/>
        <v>51.900000000000006</v>
      </c>
      <c r="M42" s="29">
        <f t="shared" si="14"/>
        <v>0</v>
      </c>
      <c r="N42" s="29">
        <f t="shared" si="14"/>
        <v>51.900000000000006</v>
      </c>
    </row>
    <row r="43" spans="1:14" ht="39" x14ac:dyDescent="0.25">
      <c r="A43" s="225"/>
      <c r="B43" s="27"/>
      <c r="C43" s="248"/>
      <c r="D43" s="27" t="s">
        <v>30</v>
      </c>
      <c r="E43" s="26" t="s">
        <v>450</v>
      </c>
      <c r="F43" s="475">
        <v>45.3</v>
      </c>
      <c r="G43" s="475"/>
      <c r="H43" s="475">
        <f>SUM(F43:G43)</f>
        <v>45.3</v>
      </c>
      <c r="I43" s="40">
        <v>47.2</v>
      </c>
      <c r="J43" s="40"/>
      <c r="K43" s="40">
        <f>SUM(I43:J43)</f>
        <v>47.2</v>
      </c>
      <c r="L43" s="40">
        <v>47.2</v>
      </c>
      <c r="M43" s="40"/>
      <c r="N43" s="40">
        <f>SUM(L43:M43)</f>
        <v>47.2</v>
      </c>
    </row>
    <row r="44" spans="1:14" ht="25.5" x14ac:dyDescent="0.25">
      <c r="A44" s="225"/>
      <c r="B44" s="27"/>
      <c r="C44" s="248"/>
      <c r="D44" s="27" t="s">
        <v>17</v>
      </c>
      <c r="E44" s="30" t="s">
        <v>18</v>
      </c>
      <c r="F44" s="475">
        <v>4.7</v>
      </c>
      <c r="G44" s="475"/>
      <c r="H44" s="475">
        <v>4.7</v>
      </c>
      <c r="I44" s="40">
        <v>4.7</v>
      </c>
      <c r="J44" s="40"/>
      <c r="K44" s="40">
        <v>4.7</v>
      </c>
      <c r="L44" s="40">
        <v>4.7</v>
      </c>
      <c r="M44" s="40"/>
      <c r="N44" s="40">
        <v>4.7</v>
      </c>
    </row>
    <row r="45" spans="1:14" ht="38.25" x14ac:dyDescent="0.25">
      <c r="A45" s="225"/>
      <c r="B45" s="27"/>
      <c r="C45" s="248" t="s">
        <v>51</v>
      </c>
      <c r="D45" s="27"/>
      <c r="E45" s="30" t="s">
        <v>451</v>
      </c>
      <c r="F45" s="472">
        <f>F46</f>
        <v>10.8</v>
      </c>
      <c r="G45" s="472"/>
      <c r="H45" s="472">
        <f>SUM(F45:G45)</f>
        <v>10.8</v>
      </c>
      <c r="I45" s="29">
        <f>I46</f>
        <v>11.3</v>
      </c>
      <c r="J45" s="29"/>
      <c r="K45" s="29">
        <f>K46</f>
        <v>11.3</v>
      </c>
      <c r="L45" s="29">
        <f>L46</f>
        <v>11.3</v>
      </c>
      <c r="M45" s="29"/>
      <c r="N45" s="29">
        <f>N46</f>
        <v>11.3</v>
      </c>
    </row>
    <row r="46" spans="1:14" ht="25.5" x14ac:dyDescent="0.25">
      <c r="A46" s="225"/>
      <c r="B46" s="27"/>
      <c r="C46" s="248"/>
      <c r="D46" s="27" t="s">
        <v>17</v>
      </c>
      <c r="E46" s="30" t="s">
        <v>18</v>
      </c>
      <c r="F46" s="475">
        <v>10.8</v>
      </c>
      <c r="G46" s="475"/>
      <c r="H46" s="475">
        <f>SUM(F46:G46)</f>
        <v>10.8</v>
      </c>
      <c r="I46" s="40">
        <v>11.3</v>
      </c>
      <c r="J46" s="40"/>
      <c r="K46" s="40">
        <f>SUM(I46:J46)</f>
        <v>11.3</v>
      </c>
      <c r="L46" s="40">
        <v>11.3</v>
      </c>
      <c r="M46" s="40"/>
      <c r="N46" s="40">
        <f>SUM(L46:M46)</f>
        <v>11.3</v>
      </c>
    </row>
    <row r="47" spans="1:14" ht="25.5" x14ac:dyDescent="0.25">
      <c r="A47" s="225"/>
      <c r="B47" s="27"/>
      <c r="C47" s="248" t="s">
        <v>50</v>
      </c>
      <c r="D47" s="27"/>
      <c r="E47" s="30" t="s">
        <v>1203</v>
      </c>
      <c r="F47" s="475"/>
      <c r="G47" s="597">
        <f>SUM(G48:G49)</f>
        <v>367.79999999999995</v>
      </c>
      <c r="H47" s="475">
        <f>SUM(H48:H49)</f>
        <v>367.79999999999995</v>
      </c>
      <c r="I47" s="40"/>
      <c r="J47" s="40"/>
      <c r="K47" s="40"/>
      <c r="L47" s="40"/>
      <c r="M47" s="40"/>
      <c r="N47" s="40"/>
    </row>
    <row r="48" spans="1:14" ht="39" x14ac:dyDescent="0.25">
      <c r="A48" s="225"/>
      <c r="B48" s="27"/>
      <c r="C48" s="248"/>
      <c r="D48" s="27" t="s">
        <v>30</v>
      </c>
      <c r="E48" s="26" t="s">
        <v>450</v>
      </c>
      <c r="F48" s="475"/>
      <c r="G48" s="597">
        <v>140.6</v>
      </c>
      <c r="H48" s="475">
        <v>140.6</v>
      </c>
      <c r="I48" s="40"/>
      <c r="J48" s="40"/>
      <c r="K48" s="40"/>
      <c r="L48" s="40"/>
      <c r="M48" s="40"/>
      <c r="N48" s="40"/>
    </row>
    <row r="49" spans="1:14" ht="25.5" x14ac:dyDescent="0.25">
      <c r="A49" s="225"/>
      <c r="B49" s="27"/>
      <c r="C49" s="248"/>
      <c r="D49" s="27" t="s">
        <v>17</v>
      </c>
      <c r="E49" s="30" t="s">
        <v>18</v>
      </c>
      <c r="F49" s="475"/>
      <c r="G49" s="597">
        <v>227.2</v>
      </c>
      <c r="H49" s="475">
        <v>227.2</v>
      </c>
      <c r="I49" s="40"/>
      <c r="J49" s="40"/>
      <c r="K49" s="40"/>
      <c r="L49" s="40"/>
      <c r="M49" s="40"/>
      <c r="N49" s="40"/>
    </row>
    <row r="50" spans="1:14" ht="25.5" x14ac:dyDescent="0.25">
      <c r="A50" s="235"/>
      <c r="B50" s="235"/>
      <c r="C50" s="236" t="s">
        <v>166</v>
      </c>
      <c r="D50" s="235"/>
      <c r="E50" s="237" t="s">
        <v>167</v>
      </c>
      <c r="F50" s="492">
        <f t="shared" ref="F50:N51" si="15">F51</f>
        <v>62.800000000000004</v>
      </c>
      <c r="G50" s="492">
        <f t="shared" si="15"/>
        <v>0</v>
      </c>
      <c r="H50" s="492">
        <f t="shared" si="15"/>
        <v>62.800000000000004</v>
      </c>
      <c r="I50" s="238">
        <f t="shared" si="15"/>
        <v>65.099999999999994</v>
      </c>
      <c r="J50" s="238">
        <f t="shared" si="15"/>
        <v>0</v>
      </c>
      <c r="K50" s="238">
        <f t="shared" si="15"/>
        <v>65.099999999999994</v>
      </c>
      <c r="L50" s="238">
        <f t="shared" si="15"/>
        <v>65.099999999999994</v>
      </c>
      <c r="M50" s="238">
        <f t="shared" si="15"/>
        <v>0</v>
      </c>
      <c r="N50" s="238">
        <f t="shared" si="15"/>
        <v>65.099999999999994</v>
      </c>
    </row>
    <row r="51" spans="1:14" ht="38.25" x14ac:dyDescent="0.25">
      <c r="A51" s="254"/>
      <c r="B51" s="255"/>
      <c r="C51" s="245" t="s">
        <v>180</v>
      </c>
      <c r="D51" s="255"/>
      <c r="E51" s="253" t="s">
        <v>181</v>
      </c>
      <c r="F51" s="497">
        <f t="shared" si="15"/>
        <v>62.800000000000004</v>
      </c>
      <c r="G51" s="497">
        <f t="shared" si="15"/>
        <v>0</v>
      </c>
      <c r="H51" s="497">
        <f t="shared" si="15"/>
        <v>62.800000000000004</v>
      </c>
      <c r="I51" s="256">
        <f t="shared" si="15"/>
        <v>65.099999999999994</v>
      </c>
      <c r="J51" s="256">
        <f t="shared" si="15"/>
        <v>0</v>
      </c>
      <c r="K51" s="256">
        <f t="shared" si="15"/>
        <v>65.099999999999994</v>
      </c>
      <c r="L51" s="256">
        <f t="shared" si="15"/>
        <v>65.099999999999994</v>
      </c>
      <c r="M51" s="256">
        <f t="shared" si="15"/>
        <v>0</v>
      </c>
      <c r="N51" s="256">
        <f t="shared" si="15"/>
        <v>65.099999999999994</v>
      </c>
    </row>
    <row r="52" spans="1:14" ht="51" x14ac:dyDescent="0.25">
      <c r="A52" s="225"/>
      <c r="B52" s="27"/>
      <c r="C52" s="248" t="s">
        <v>188</v>
      </c>
      <c r="D52" s="27"/>
      <c r="E52" s="28" t="s">
        <v>455</v>
      </c>
      <c r="F52" s="472">
        <f>F53+F54</f>
        <v>62.800000000000004</v>
      </c>
      <c r="G52" s="472">
        <f>G53+G54</f>
        <v>0</v>
      </c>
      <c r="H52" s="472">
        <f t="shared" ref="H52:N52" si="16">H53+H54</f>
        <v>62.800000000000004</v>
      </c>
      <c r="I52" s="29">
        <f t="shared" si="16"/>
        <v>65.099999999999994</v>
      </c>
      <c r="J52" s="29">
        <f t="shared" si="16"/>
        <v>0</v>
      </c>
      <c r="K52" s="29">
        <f t="shared" si="16"/>
        <v>65.099999999999994</v>
      </c>
      <c r="L52" s="29">
        <f t="shared" si="16"/>
        <v>65.099999999999994</v>
      </c>
      <c r="M52" s="29">
        <f t="shared" si="16"/>
        <v>0</v>
      </c>
      <c r="N52" s="29">
        <f t="shared" si="16"/>
        <v>65.099999999999994</v>
      </c>
    </row>
    <row r="53" spans="1:14" ht="39" x14ac:dyDescent="0.25">
      <c r="A53" s="225"/>
      <c r="B53" s="27"/>
      <c r="C53" s="230"/>
      <c r="D53" s="27" t="s">
        <v>30</v>
      </c>
      <c r="E53" s="26" t="s">
        <v>450</v>
      </c>
      <c r="F53" s="472">
        <v>45.7</v>
      </c>
      <c r="G53" s="472"/>
      <c r="H53" s="472">
        <f>SUM(F53:G53)</f>
        <v>45.7</v>
      </c>
      <c r="I53" s="29">
        <v>47.9</v>
      </c>
      <c r="J53" s="29"/>
      <c r="K53" s="29">
        <f>SUM(I53:J53)</f>
        <v>47.9</v>
      </c>
      <c r="L53" s="29">
        <v>47.9</v>
      </c>
      <c r="M53" s="29"/>
      <c r="N53" s="29">
        <f>SUM(L53:M53)</f>
        <v>47.9</v>
      </c>
    </row>
    <row r="54" spans="1:14" ht="25.5" x14ac:dyDescent="0.25">
      <c r="A54" s="225"/>
      <c r="B54" s="27"/>
      <c r="C54" s="230"/>
      <c r="D54" s="27" t="s">
        <v>17</v>
      </c>
      <c r="E54" s="30" t="s">
        <v>18</v>
      </c>
      <c r="F54" s="472">
        <v>17.100000000000001</v>
      </c>
      <c r="G54" s="472"/>
      <c r="H54" s="472">
        <v>17.100000000000001</v>
      </c>
      <c r="I54" s="29">
        <v>17.2</v>
      </c>
      <c r="J54" s="29"/>
      <c r="K54" s="29">
        <v>17.2</v>
      </c>
      <c r="L54" s="29">
        <v>17.2</v>
      </c>
      <c r="M54" s="29"/>
      <c r="N54" s="29">
        <v>17.2</v>
      </c>
    </row>
    <row r="55" spans="1:14" x14ac:dyDescent="0.25">
      <c r="A55" s="225"/>
      <c r="B55" s="27"/>
      <c r="C55" s="230" t="s">
        <v>825</v>
      </c>
      <c r="D55" s="7"/>
      <c r="E55" s="233" t="s">
        <v>1114</v>
      </c>
      <c r="F55" s="491">
        <f t="shared" ref="F55:N57" si="17">F56</f>
        <v>4</v>
      </c>
      <c r="G55" s="491">
        <f t="shared" si="17"/>
        <v>0</v>
      </c>
      <c r="H55" s="491">
        <f t="shared" si="17"/>
        <v>4</v>
      </c>
      <c r="I55" s="232">
        <f t="shared" si="17"/>
        <v>4.0999999999999996</v>
      </c>
      <c r="J55" s="232">
        <f t="shared" si="17"/>
        <v>0</v>
      </c>
      <c r="K55" s="232">
        <f t="shared" si="17"/>
        <v>4.0999999999999996</v>
      </c>
      <c r="L55" s="232">
        <f t="shared" si="17"/>
        <v>4.0999999999999996</v>
      </c>
      <c r="M55" s="232">
        <f t="shared" si="17"/>
        <v>0</v>
      </c>
      <c r="N55" s="232">
        <f t="shared" si="17"/>
        <v>4.0999999999999996</v>
      </c>
    </row>
    <row r="56" spans="1:14" ht="38.25" x14ac:dyDescent="0.25">
      <c r="A56" s="225"/>
      <c r="B56" s="27"/>
      <c r="C56" s="230" t="s">
        <v>383</v>
      </c>
      <c r="D56" s="7"/>
      <c r="E56" s="233" t="s">
        <v>1113</v>
      </c>
      <c r="F56" s="491">
        <f t="shared" si="17"/>
        <v>4</v>
      </c>
      <c r="G56" s="491">
        <f t="shared" si="17"/>
        <v>0</v>
      </c>
      <c r="H56" s="491">
        <f t="shared" si="17"/>
        <v>4</v>
      </c>
      <c r="I56" s="232">
        <f t="shared" si="17"/>
        <v>4.0999999999999996</v>
      </c>
      <c r="J56" s="232">
        <f t="shared" si="17"/>
        <v>0</v>
      </c>
      <c r="K56" s="232">
        <f t="shared" si="17"/>
        <v>4.0999999999999996</v>
      </c>
      <c r="L56" s="232">
        <f t="shared" si="17"/>
        <v>4.0999999999999996</v>
      </c>
      <c r="M56" s="232">
        <f t="shared" si="17"/>
        <v>0</v>
      </c>
      <c r="N56" s="232">
        <f t="shared" si="17"/>
        <v>4.0999999999999996</v>
      </c>
    </row>
    <row r="57" spans="1:14" ht="38.25" x14ac:dyDescent="0.25">
      <c r="A57" s="225"/>
      <c r="B57" s="27"/>
      <c r="C57" s="248" t="s">
        <v>449</v>
      </c>
      <c r="D57" s="27"/>
      <c r="E57" s="28" t="s">
        <v>397</v>
      </c>
      <c r="F57" s="472">
        <f t="shared" si="17"/>
        <v>4</v>
      </c>
      <c r="G57" s="472">
        <f t="shared" si="17"/>
        <v>0</v>
      </c>
      <c r="H57" s="472">
        <f t="shared" si="17"/>
        <v>4</v>
      </c>
      <c r="I57" s="29">
        <f t="shared" si="17"/>
        <v>4.0999999999999996</v>
      </c>
      <c r="J57" s="29">
        <f>J58</f>
        <v>0</v>
      </c>
      <c r="K57" s="29">
        <f t="shared" si="17"/>
        <v>4.0999999999999996</v>
      </c>
      <c r="L57" s="29">
        <f t="shared" si="17"/>
        <v>4.0999999999999996</v>
      </c>
      <c r="M57" s="29">
        <f>M58</f>
        <v>0</v>
      </c>
      <c r="N57" s="29">
        <f t="shared" si="17"/>
        <v>4.0999999999999996</v>
      </c>
    </row>
    <row r="58" spans="1:14" ht="25.5" x14ac:dyDescent="0.25">
      <c r="A58" s="225"/>
      <c r="B58" s="27"/>
      <c r="C58" s="248"/>
      <c r="D58" s="27" t="s">
        <v>17</v>
      </c>
      <c r="E58" s="28" t="s">
        <v>18</v>
      </c>
      <c r="F58" s="469">
        <v>4</v>
      </c>
      <c r="G58" s="469"/>
      <c r="H58" s="469">
        <f>SUM(F58:G58)</f>
        <v>4</v>
      </c>
      <c r="I58" s="160">
        <v>4.0999999999999996</v>
      </c>
      <c r="J58" s="160"/>
      <c r="K58" s="160">
        <f>SUM(I58:J58)</f>
        <v>4.0999999999999996</v>
      </c>
      <c r="L58" s="160">
        <v>4.0999999999999996</v>
      </c>
      <c r="M58" s="160"/>
      <c r="N58" s="160">
        <f>SUM(L58:M58)</f>
        <v>4.0999999999999996</v>
      </c>
    </row>
    <row r="59" spans="1:14" x14ac:dyDescent="0.25">
      <c r="A59" s="229"/>
      <c r="B59" s="7" t="s">
        <v>826</v>
      </c>
      <c r="C59" s="230"/>
      <c r="D59" s="7"/>
      <c r="E59" s="233" t="s">
        <v>827</v>
      </c>
      <c r="F59" s="491">
        <f t="shared" ref="F59:N63" si="18">F60</f>
        <v>36.299999999999997</v>
      </c>
      <c r="G59" s="491"/>
      <c r="H59" s="491">
        <f t="shared" si="18"/>
        <v>36.299999999999997</v>
      </c>
      <c r="I59" s="232">
        <f t="shared" si="18"/>
        <v>2.6</v>
      </c>
      <c r="J59" s="232"/>
      <c r="K59" s="232">
        <f t="shared" si="18"/>
        <v>2.6</v>
      </c>
      <c r="L59" s="232">
        <f t="shared" si="18"/>
        <v>2.5</v>
      </c>
      <c r="M59" s="232"/>
      <c r="N59" s="232">
        <f t="shared" si="18"/>
        <v>2.5</v>
      </c>
    </row>
    <row r="60" spans="1:14" ht="25.5" x14ac:dyDescent="0.25">
      <c r="A60" s="234"/>
      <c r="B60" s="235"/>
      <c r="C60" s="236" t="s">
        <v>11</v>
      </c>
      <c r="D60" s="235"/>
      <c r="E60" s="237" t="s">
        <v>12</v>
      </c>
      <c r="F60" s="492">
        <f t="shared" si="18"/>
        <v>36.299999999999997</v>
      </c>
      <c r="G60" s="492"/>
      <c r="H60" s="492">
        <f t="shared" si="18"/>
        <v>36.299999999999997</v>
      </c>
      <c r="I60" s="238">
        <f t="shared" si="18"/>
        <v>2.6</v>
      </c>
      <c r="J60" s="238"/>
      <c r="K60" s="238">
        <f t="shared" si="18"/>
        <v>2.6</v>
      </c>
      <c r="L60" s="238">
        <f t="shared" si="18"/>
        <v>2.5</v>
      </c>
      <c r="M60" s="238"/>
      <c r="N60" s="238">
        <f t="shared" si="18"/>
        <v>2.5</v>
      </c>
    </row>
    <row r="61" spans="1:14" ht="38.25" x14ac:dyDescent="0.25">
      <c r="A61" s="294"/>
      <c r="B61" s="287"/>
      <c r="C61" s="288" t="s">
        <v>39</v>
      </c>
      <c r="D61" s="287"/>
      <c r="E61" s="295" t="s">
        <v>828</v>
      </c>
      <c r="F61" s="493">
        <f t="shared" si="18"/>
        <v>36.299999999999997</v>
      </c>
      <c r="G61" s="493"/>
      <c r="H61" s="493">
        <f t="shared" si="18"/>
        <v>36.299999999999997</v>
      </c>
      <c r="I61" s="290">
        <f t="shared" si="18"/>
        <v>2.6</v>
      </c>
      <c r="J61" s="290"/>
      <c r="K61" s="290">
        <f t="shared" si="18"/>
        <v>2.6</v>
      </c>
      <c r="L61" s="290">
        <f t="shared" si="18"/>
        <v>2.5</v>
      </c>
      <c r="M61" s="290"/>
      <c r="N61" s="290">
        <f t="shared" si="18"/>
        <v>2.5</v>
      </c>
    </row>
    <row r="62" spans="1:14" ht="25.5" x14ac:dyDescent="0.25">
      <c r="A62" s="244"/>
      <c r="B62" s="34"/>
      <c r="C62" s="245" t="s">
        <v>41</v>
      </c>
      <c r="D62" s="34"/>
      <c r="E62" s="253" t="s">
        <v>829</v>
      </c>
      <c r="F62" s="494">
        <f t="shared" si="18"/>
        <v>36.299999999999997</v>
      </c>
      <c r="G62" s="494"/>
      <c r="H62" s="494">
        <f t="shared" si="18"/>
        <v>36.299999999999997</v>
      </c>
      <c r="I62" s="247">
        <f t="shared" si="18"/>
        <v>2.6</v>
      </c>
      <c r="J62" s="247"/>
      <c r="K62" s="247">
        <f t="shared" si="18"/>
        <v>2.6</v>
      </c>
      <c r="L62" s="247">
        <f t="shared" si="18"/>
        <v>2.5</v>
      </c>
      <c r="M62" s="247"/>
      <c r="N62" s="247">
        <f t="shared" si="18"/>
        <v>2.5</v>
      </c>
    </row>
    <row r="63" spans="1:14" ht="39" x14ac:dyDescent="0.25">
      <c r="A63" s="225"/>
      <c r="B63" s="27"/>
      <c r="C63" s="248" t="s">
        <v>52</v>
      </c>
      <c r="D63" s="27"/>
      <c r="E63" s="26" t="s">
        <v>453</v>
      </c>
      <c r="F63" s="472">
        <f t="shared" si="18"/>
        <v>36.299999999999997</v>
      </c>
      <c r="G63" s="472"/>
      <c r="H63" s="472">
        <f t="shared" si="18"/>
        <v>36.299999999999997</v>
      </c>
      <c r="I63" s="29">
        <f t="shared" si="18"/>
        <v>2.6</v>
      </c>
      <c r="J63" s="29"/>
      <c r="K63" s="29">
        <f t="shared" si="18"/>
        <v>2.6</v>
      </c>
      <c r="L63" s="29">
        <f t="shared" si="18"/>
        <v>2.5</v>
      </c>
      <c r="M63" s="29"/>
      <c r="N63" s="29">
        <f t="shared" si="18"/>
        <v>2.5</v>
      </c>
    </row>
    <row r="64" spans="1:14" ht="25.5" x14ac:dyDescent="0.25">
      <c r="A64" s="225"/>
      <c r="B64" s="27"/>
      <c r="C64" s="248"/>
      <c r="D64" s="27" t="s">
        <v>17</v>
      </c>
      <c r="E64" s="30" t="s">
        <v>18</v>
      </c>
      <c r="F64" s="474">
        <v>36.299999999999997</v>
      </c>
      <c r="G64" s="474"/>
      <c r="H64" s="474">
        <v>36.299999999999997</v>
      </c>
      <c r="I64" s="165">
        <v>2.6</v>
      </c>
      <c r="J64" s="165"/>
      <c r="K64" s="165">
        <v>2.6</v>
      </c>
      <c r="L64" s="165">
        <v>2.5</v>
      </c>
      <c r="M64" s="165"/>
      <c r="N64" s="165">
        <v>2.5</v>
      </c>
    </row>
    <row r="65" spans="1:14" x14ac:dyDescent="0.25">
      <c r="A65" s="229"/>
      <c r="B65" s="7" t="s">
        <v>830</v>
      </c>
      <c r="C65" s="230"/>
      <c r="D65" s="229"/>
      <c r="E65" s="231" t="s">
        <v>831</v>
      </c>
      <c r="F65" s="491">
        <f>F66+F104</f>
        <v>55945.3</v>
      </c>
      <c r="G65" s="491">
        <f>G66+G104</f>
        <v>40.138000000000005</v>
      </c>
      <c r="H65" s="491">
        <f>H66+H104</f>
        <v>55985.438000000009</v>
      </c>
      <c r="I65" s="232">
        <f>I66+I104</f>
        <v>46932.200000000004</v>
      </c>
      <c r="J65" s="232"/>
      <c r="K65" s="232">
        <f>K66+K104</f>
        <v>46932.200000000004</v>
      </c>
      <c r="L65" s="232">
        <f>L66+L104</f>
        <v>48997.9</v>
      </c>
      <c r="M65" s="232"/>
      <c r="N65" s="232">
        <f>N66+N104</f>
        <v>48997.9</v>
      </c>
    </row>
    <row r="66" spans="1:14" ht="25.5" x14ac:dyDescent="0.25">
      <c r="A66" s="229"/>
      <c r="B66" s="7"/>
      <c r="C66" s="230" t="s">
        <v>9</v>
      </c>
      <c r="D66" s="229"/>
      <c r="E66" s="233" t="s">
        <v>10</v>
      </c>
      <c r="F66" s="491">
        <f>F67+F99+F93</f>
        <v>2934.6</v>
      </c>
      <c r="G66" s="491">
        <f>G67+G99+G93</f>
        <v>1.2999999999999999E-2</v>
      </c>
      <c r="H66" s="491">
        <f>H67+H99+H93</f>
        <v>2934.6130000000003</v>
      </c>
      <c r="I66" s="232">
        <f>I67+I99</f>
        <v>1625.9</v>
      </c>
      <c r="J66" s="232"/>
      <c r="K66" s="232">
        <f>K67+K99</f>
        <v>1625.9</v>
      </c>
      <c r="L66" s="232">
        <f>L67+L99</f>
        <v>1625.9</v>
      </c>
      <c r="M66" s="232"/>
      <c r="N66" s="232">
        <f>N67+N99</f>
        <v>1625.9</v>
      </c>
    </row>
    <row r="67" spans="1:14" ht="25.5" x14ac:dyDescent="0.25">
      <c r="A67" s="234"/>
      <c r="B67" s="235"/>
      <c r="C67" s="236" t="s">
        <v>11</v>
      </c>
      <c r="D67" s="235"/>
      <c r="E67" s="237" t="s">
        <v>12</v>
      </c>
      <c r="F67" s="492">
        <f>F68+F80+F85</f>
        <v>2572.4</v>
      </c>
      <c r="G67" s="492">
        <f>G68+G80+G85</f>
        <v>0</v>
      </c>
      <c r="H67" s="492">
        <f>H68+H80+H85</f>
        <v>2572.4</v>
      </c>
      <c r="I67" s="238">
        <f>I68+I80+I85</f>
        <v>1295.9000000000001</v>
      </c>
      <c r="J67" s="238"/>
      <c r="K67" s="238">
        <f>K68+K80+K85</f>
        <v>1295.9000000000001</v>
      </c>
      <c r="L67" s="238">
        <f>L68+L80+L85</f>
        <v>1295.9000000000001</v>
      </c>
      <c r="M67" s="238"/>
      <c r="N67" s="238">
        <f>N68+N80+N85</f>
        <v>1295.9000000000001</v>
      </c>
    </row>
    <row r="68" spans="1:14" ht="25.5" x14ac:dyDescent="0.25">
      <c r="A68" s="294"/>
      <c r="B68" s="287"/>
      <c r="C68" s="288" t="s">
        <v>13</v>
      </c>
      <c r="D68" s="287"/>
      <c r="E68" s="295" t="s">
        <v>14</v>
      </c>
      <c r="F68" s="493">
        <f>F69+F75+F72</f>
        <v>1162</v>
      </c>
      <c r="G68" s="493">
        <f>G69+G75+G72</f>
        <v>0</v>
      </c>
      <c r="H68" s="493">
        <f>H69+H75+H72</f>
        <v>1162</v>
      </c>
      <c r="I68" s="290">
        <f>I69+I75+I72</f>
        <v>0</v>
      </c>
      <c r="J68" s="290"/>
      <c r="K68" s="290">
        <f>K69+K75+K72</f>
        <v>0</v>
      </c>
      <c r="L68" s="290">
        <f>L69+L75+L72</f>
        <v>0</v>
      </c>
      <c r="M68" s="290"/>
      <c r="N68" s="290">
        <f>N69+N75+N72</f>
        <v>0</v>
      </c>
    </row>
    <row r="69" spans="1:14" ht="25.5" x14ac:dyDescent="0.25">
      <c r="A69" s="244"/>
      <c r="B69" s="34"/>
      <c r="C69" s="245" t="s">
        <v>15</v>
      </c>
      <c r="D69" s="34"/>
      <c r="E69" s="253" t="s">
        <v>832</v>
      </c>
      <c r="F69" s="494">
        <f t="shared" ref="F69:N70" si="19">F70</f>
        <v>149.80000000000001</v>
      </c>
      <c r="G69" s="494">
        <f t="shared" si="19"/>
        <v>0</v>
      </c>
      <c r="H69" s="494">
        <f t="shared" si="19"/>
        <v>149.80000000000001</v>
      </c>
      <c r="I69" s="247">
        <f t="shared" si="19"/>
        <v>0</v>
      </c>
      <c r="J69" s="247"/>
      <c r="K69" s="247">
        <f t="shared" si="19"/>
        <v>0</v>
      </c>
      <c r="L69" s="247">
        <f t="shared" si="19"/>
        <v>0</v>
      </c>
      <c r="M69" s="247"/>
      <c r="N69" s="247">
        <f t="shared" si="19"/>
        <v>0</v>
      </c>
    </row>
    <row r="70" spans="1:14" ht="19.5" customHeight="1" x14ac:dyDescent="0.3">
      <c r="A70" s="225"/>
      <c r="B70" s="27"/>
      <c r="C70" s="27" t="str">
        <f>'Приложение 2'!$A$11</f>
        <v>01 1 10 4У011</v>
      </c>
      <c r="D70" s="7"/>
      <c r="E70" s="30" t="str">
        <f>'Приложение 2'!$C$11</f>
        <v>Приобретение металлических стеллажей</v>
      </c>
      <c r="F70" s="472">
        <f t="shared" si="19"/>
        <v>149.80000000000001</v>
      </c>
      <c r="G70" s="472">
        <f t="shared" si="19"/>
        <v>0</v>
      </c>
      <c r="H70" s="472">
        <f t="shared" si="19"/>
        <v>149.80000000000001</v>
      </c>
      <c r="I70" s="29">
        <f t="shared" si="19"/>
        <v>0</v>
      </c>
      <c r="J70" s="29"/>
      <c r="K70" s="29">
        <f t="shared" si="19"/>
        <v>0</v>
      </c>
      <c r="L70" s="29">
        <f t="shared" si="19"/>
        <v>0</v>
      </c>
      <c r="M70" s="29"/>
      <c r="N70" s="29">
        <f t="shared" si="19"/>
        <v>0</v>
      </c>
    </row>
    <row r="71" spans="1:14" ht="25.5" x14ac:dyDescent="0.25">
      <c r="A71" s="225"/>
      <c r="B71" s="27"/>
      <c r="C71" s="230"/>
      <c r="D71" s="27" t="s">
        <v>17</v>
      </c>
      <c r="E71" s="30" t="s">
        <v>18</v>
      </c>
      <c r="F71" s="472">
        <v>149.80000000000001</v>
      </c>
      <c r="G71" s="472"/>
      <c r="H71" s="472">
        <f>SUM(F71:G71)</f>
        <v>149.80000000000001</v>
      </c>
      <c r="I71" s="29">
        <f>'Приложение 2'!$M$12</f>
        <v>0</v>
      </c>
      <c r="J71" s="29"/>
      <c r="K71" s="29">
        <f>'Приложение 2'!$M$12</f>
        <v>0</v>
      </c>
      <c r="L71" s="29">
        <f>'Приложение 2'!$P$12</f>
        <v>0</v>
      </c>
      <c r="M71" s="29"/>
      <c r="N71" s="29">
        <f>'Приложение 2'!$P$12</f>
        <v>0</v>
      </c>
    </row>
    <row r="72" spans="1:14" ht="25.5" x14ac:dyDescent="0.25">
      <c r="A72" s="244"/>
      <c r="B72" s="34"/>
      <c r="C72" s="245" t="s">
        <v>19</v>
      </c>
      <c r="D72" s="34"/>
      <c r="E72" s="253" t="s">
        <v>20</v>
      </c>
      <c r="F72" s="494">
        <f>F73</f>
        <v>905.2</v>
      </c>
      <c r="G72" s="494">
        <f>G73</f>
        <v>0</v>
      </c>
      <c r="H72" s="494">
        <f>H73</f>
        <v>905.2</v>
      </c>
      <c r="I72" s="247">
        <f>I73</f>
        <v>0</v>
      </c>
      <c r="J72" s="247"/>
      <c r="K72" s="247">
        <f>K73</f>
        <v>0</v>
      </c>
      <c r="L72" s="247">
        <f>L73</f>
        <v>0</v>
      </c>
      <c r="M72" s="247"/>
      <c r="N72" s="247">
        <f>N73</f>
        <v>0</v>
      </c>
    </row>
    <row r="73" spans="1:14" ht="51.75" x14ac:dyDescent="0.25">
      <c r="A73" s="225"/>
      <c r="B73" s="27"/>
      <c r="C73" s="27" t="str">
        <f>'Приложение 2'!$A$14</f>
        <v>01 1 20 4У020</v>
      </c>
      <c r="D73" s="7"/>
      <c r="E73" s="26" t="str">
        <f>'Приложение 2'!$C$14</f>
        <v>Программное 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v>
      </c>
      <c r="F73" s="472">
        <f>F74</f>
        <v>905.2</v>
      </c>
      <c r="G73" s="472"/>
      <c r="H73" s="472">
        <f>H74</f>
        <v>905.2</v>
      </c>
      <c r="I73" s="29">
        <v>0</v>
      </c>
      <c r="J73" s="29"/>
      <c r="K73" s="29">
        <v>0</v>
      </c>
      <c r="L73" s="29">
        <v>0</v>
      </c>
      <c r="M73" s="29"/>
      <c r="N73" s="29">
        <v>0</v>
      </c>
    </row>
    <row r="74" spans="1:14" ht="25.5" x14ac:dyDescent="0.25">
      <c r="A74" s="225"/>
      <c r="B74" s="27"/>
      <c r="C74" s="230"/>
      <c r="D74" s="27" t="s">
        <v>17</v>
      </c>
      <c r="E74" s="30" t="s">
        <v>18</v>
      </c>
      <c r="F74" s="472">
        <v>905.2</v>
      </c>
      <c r="G74" s="472"/>
      <c r="H74" s="472">
        <v>905.2</v>
      </c>
      <c r="I74" s="29">
        <v>0</v>
      </c>
      <c r="J74" s="29"/>
      <c r="K74" s="29">
        <v>0</v>
      </c>
      <c r="L74" s="29">
        <v>0</v>
      </c>
      <c r="M74" s="29"/>
      <c r="N74" s="29">
        <v>0</v>
      </c>
    </row>
    <row r="75" spans="1:14" ht="25.5" x14ac:dyDescent="0.25">
      <c r="A75" s="244"/>
      <c r="B75" s="34"/>
      <c r="C75" s="245" t="s">
        <v>22</v>
      </c>
      <c r="D75" s="34"/>
      <c r="E75" s="253" t="s">
        <v>833</v>
      </c>
      <c r="F75" s="494">
        <f>F76+F78</f>
        <v>107</v>
      </c>
      <c r="G75" s="494">
        <f>G76+G78</f>
        <v>0</v>
      </c>
      <c r="H75" s="494">
        <f>H76+H78</f>
        <v>107</v>
      </c>
      <c r="I75" s="247">
        <f>I76</f>
        <v>0</v>
      </c>
      <c r="J75" s="247"/>
      <c r="K75" s="247">
        <f>K76</f>
        <v>0</v>
      </c>
      <c r="L75" s="247">
        <f>L76</f>
        <v>0</v>
      </c>
      <c r="M75" s="247"/>
      <c r="N75" s="247">
        <f>N76</f>
        <v>0</v>
      </c>
    </row>
    <row r="76" spans="1:14" ht="25.5" x14ac:dyDescent="0.25">
      <c r="A76" s="225"/>
      <c r="B76" s="27"/>
      <c r="C76" s="27" t="str">
        <f>'Приложение 2'!$A$17</f>
        <v>01 1 30 4У040</v>
      </c>
      <c r="D76" s="27"/>
      <c r="E76" s="28" t="str">
        <f>'Приложение 2'!$C$17</f>
        <v>Обеспечение функционирования официального сайта администрации, предоставление информационных услуг</v>
      </c>
      <c r="F76" s="472">
        <f>F77</f>
        <v>37.1</v>
      </c>
      <c r="G76" s="472"/>
      <c r="H76" s="472">
        <f>H77</f>
        <v>37.1</v>
      </c>
      <c r="I76" s="29">
        <f>I77</f>
        <v>0</v>
      </c>
      <c r="J76" s="29"/>
      <c r="K76" s="29">
        <f>K77</f>
        <v>0</v>
      </c>
      <c r="L76" s="29">
        <f>L77</f>
        <v>0</v>
      </c>
      <c r="M76" s="29"/>
      <c r="N76" s="29">
        <f>N77</f>
        <v>0</v>
      </c>
    </row>
    <row r="77" spans="1:14" ht="25.5" x14ac:dyDescent="0.25">
      <c r="A77" s="225"/>
      <c r="B77" s="27"/>
      <c r="C77" s="248"/>
      <c r="D77" s="27" t="s">
        <v>17</v>
      </c>
      <c r="E77" s="30" t="s">
        <v>18</v>
      </c>
      <c r="F77" s="472">
        <v>37.1</v>
      </c>
      <c r="G77" s="472"/>
      <c r="H77" s="472">
        <f>SUM(F77:G77)</f>
        <v>37.1</v>
      </c>
      <c r="I77" s="29">
        <v>0</v>
      </c>
      <c r="J77" s="29"/>
      <c r="K77" s="29">
        <v>0</v>
      </c>
      <c r="L77" s="29">
        <v>0</v>
      </c>
      <c r="M77" s="29"/>
      <c r="N77" s="29">
        <v>0</v>
      </c>
    </row>
    <row r="78" spans="1:14" ht="37.5" customHeight="1" x14ac:dyDescent="0.3">
      <c r="A78" s="225"/>
      <c r="B78" s="27"/>
      <c r="C78" s="27" t="str">
        <f>'Приложение 2'!$A$19</f>
        <v>01 1 30 4У041</v>
      </c>
      <c r="D78" s="27"/>
      <c r="E78" s="28" t="str">
        <f>'Приложение 2'!$C$19</f>
        <v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Юсьвинского муниципального округа Пермского края в СМИ</v>
      </c>
      <c r="F78" s="472">
        <f>F79</f>
        <v>69.900000000000006</v>
      </c>
      <c r="G78" s="472"/>
      <c r="H78" s="472">
        <f>H79</f>
        <v>69.900000000000006</v>
      </c>
      <c r="I78" s="29">
        <f>I79</f>
        <v>0</v>
      </c>
      <c r="J78" s="29"/>
      <c r="K78" s="29">
        <f>K79</f>
        <v>0</v>
      </c>
      <c r="L78" s="29">
        <f>L79</f>
        <v>0</v>
      </c>
      <c r="M78" s="29"/>
      <c r="N78" s="29">
        <f>N79</f>
        <v>0</v>
      </c>
    </row>
    <row r="79" spans="1:14" ht="25.5" x14ac:dyDescent="0.25">
      <c r="A79" s="225"/>
      <c r="B79" s="27"/>
      <c r="C79" s="248"/>
      <c r="D79" s="27" t="s">
        <v>17</v>
      </c>
      <c r="E79" s="30" t="s">
        <v>18</v>
      </c>
      <c r="F79" s="472">
        <v>69.900000000000006</v>
      </c>
      <c r="G79" s="472"/>
      <c r="H79" s="472">
        <v>69.900000000000006</v>
      </c>
      <c r="I79" s="29">
        <v>0</v>
      </c>
      <c r="J79" s="29"/>
      <c r="K79" s="29">
        <v>0</v>
      </c>
      <c r="L79" s="29">
        <v>0</v>
      </c>
      <c r="M79" s="29"/>
      <c r="N79" s="29">
        <v>0</v>
      </c>
    </row>
    <row r="80" spans="1:14" ht="38.25" x14ac:dyDescent="0.25">
      <c r="A80" s="294"/>
      <c r="B80" s="287"/>
      <c r="C80" s="288" t="s">
        <v>39</v>
      </c>
      <c r="D80" s="287"/>
      <c r="E80" s="295" t="s">
        <v>828</v>
      </c>
      <c r="F80" s="493">
        <f>F82</f>
        <v>1295.9000000000001</v>
      </c>
      <c r="G80" s="493"/>
      <c r="H80" s="493">
        <f>H82</f>
        <v>1295.9000000000001</v>
      </c>
      <c r="I80" s="290">
        <f>I82</f>
        <v>1295.9000000000001</v>
      </c>
      <c r="J80" s="290"/>
      <c r="K80" s="290">
        <f>K82</f>
        <v>1295.9000000000001</v>
      </c>
      <c r="L80" s="290">
        <f>L82</f>
        <v>1295.9000000000001</v>
      </c>
      <c r="M80" s="290"/>
      <c r="N80" s="290">
        <f>N82</f>
        <v>1295.9000000000001</v>
      </c>
    </row>
    <row r="81" spans="1:14" ht="25.5" x14ac:dyDescent="0.25">
      <c r="A81" s="244"/>
      <c r="B81" s="34"/>
      <c r="C81" s="257" t="s">
        <v>41</v>
      </c>
      <c r="D81" s="34"/>
      <c r="E81" s="253" t="s">
        <v>42</v>
      </c>
      <c r="F81" s="494">
        <f>F82</f>
        <v>1295.9000000000001</v>
      </c>
      <c r="G81" s="494"/>
      <c r="H81" s="494">
        <f>H82</f>
        <v>1295.9000000000001</v>
      </c>
      <c r="I81" s="247">
        <f>I82</f>
        <v>1295.9000000000001</v>
      </c>
      <c r="J81" s="247"/>
      <c r="K81" s="247">
        <f>K82</f>
        <v>1295.9000000000001</v>
      </c>
      <c r="L81" s="247">
        <f>L82</f>
        <v>1295.9000000000001</v>
      </c>
      <c r="M81" s="247"/>
      <c r="N81" s="247">
        <f>N82</f>
        <v>1295.9000000000001</v>
      </c>
    </row>
    <row r="82" spans="1:14" ht="24" customHeight="1" x14ac:dyDescent="0.25">
      <c r="A82" s="225"/>
      <c r="B82" s="27"/>
      <c r="C82" s="248" t="s">
        <v>53</v>
      </c>
      <c r="D82" s="27"/>
      <c r="E82" s="30" t="s">
        <v>454</v>
      </c>
      <c r="F82" s="496">
        <f>F83+F84</f>
        <v>1295.9000000000001</v>
      </c>
      <c r="G82" s="496"/>
      <c r="H82" s="496">
        <f>H83+H84</f>
        <v>1295.9000000000001</v>
      </c>
      <c r="I82" s="252">
        <f>I83+I84</f>
        <v>1295.9000000000001</v>
      </c>
      <c r="J82" s="252"/>
      <c r="K82" s="252">
        <f>K83+K84</f>
        <v>1295.9000000000001</v>
      </c>
      <c r="L82" s="252">
        <f>L83+L84</f>
        <v>1295.9000000000001</v>
      </c>
      <c r="M82" s="252"/>
      <c r="N82" s="252">
        <f>N83+N84</f>
        <v>1295.9000000000001</v>
      </c>
    </row>
    <row r="83" spans="1:14" ht="39" x14ac:dyDescent="0.25">
      <c r="A83" s="225"/>
      <c r="B83" s="27"/>
      <c r="C83" s="248"/>
      <c r="D83" s="27" t="s">
        <v>30</v>
      </c>
      <c r="E83" s="26" t="s">
        <v>450</v>
      </c>
      <c r="F83" s="475">
        <v>1273.7</v>
      </c>
      <c r="G83" s="475"/>
      <c r="H83" s="475">
        <v>1273.7</v>
      </c>
      <c r="I83" s="40">
        <v>1295.9000000000001</v>
      </c>
      <c r="J83" s="40"/>
      <c r="K83" s="40">
        <v>1295.9000000000001</v>
      </c>
      <c r="L83" s="40">
        <v>1295.9000000000001</v>
      </c>
      <c r="M83" s="40"/>
      <c r="N83" s="40">
        <v>1295.9000000000001</v>
      </c>
    </row>
    <row r="84" spans="1:14" ht="25.5" x14ac:dyDescent="0.25">
      <c r="A84" s="225"/>
      <c r="B84" s="27"/>
      <c r="C84" s="248"/>
      <c r="D84" s="27" t="s">
        <v>17</v>
      </c>
      <c r="E84" s="30" t="s">
        <v>18</v>
      </c>
      <c r="F84" s="475">
        <v>22.2</v>
      </c>
      <c r="G84" s="475"/>
      <c r="H84" s="475">
        <v>22.2</v>
      </c>
      <c r="I84" s="40">
        <v>0</v>
      </c>
      <c r="J84" s="40"/>
      <c r="K84" s="40">
        <v>0</v>
      </c>
      <c r="L84" s="40">
        <v>0</v>
      </c>
      <c r="M84" s="40"/>
      <c r="N84" s="40">
        <v>0</v>
      </c>
    </row>
    <row r="85" spans="1:14" ht="25.5" x14ac:dyDescent="0.25">
      <c r="A85" s="294"/>
      <c r="B85" s="287"/>
      <c r="C85" s="288" t="s">
        <v>496</v>
      </c>
      <c r="D85" s="287"/>
      <c r="E85" s="295" t="s">
        <v>491</v>
      </c>
      <c r="F85" s="493">
        <f>F86</f>
        <v>114.5</v>
      </c>
      <c r="G85" s="493"/>
      <c r="H85" s="493">
        <f>H86</f>
        <v>114.5</v>
      </c>
      <c r="I85" s="290">
        <v>0</v>
      </c>
      <c r="J85" s="290"/>
      <c r="K85" s="290">
        <v>0</v>
      </c>
      <c r="L85" s="290">
        <v>0</v>
      </c>
      <c r="M85" s="290"/>
      <c r="N85" s="290">
        <v>0</v>
      </c>
    </row>
    <row r="86" spans="1:14" s="258" customFormat="1" ht="40.5" customHeight="1" x14ac:dyDescent="0.25">
      <c r="A86" s="244"/>
      <c r="B86" s="34"/>
      <c r="C86" s="257" t="s">
        <v>497</v>
      </c>
      <c r="D86" s="34"/>
      <c r="E86" s="253" t="s">
        <v>492</v>
      </c>
      <c r="F86" s="494">
        <f>F87+F89+F91</f>
        <v>114.5</v>
      </c>
      <c r="G86" s="494"/>
      <c r="H86" s="494">
        <f>H87+H89+H91</f>
        <v>114.5</v>
      </c>
      <c r="I86" s="247">
        <v>0</v>
      </c>
      <c r="J86" s="247"/>
      <c r="K86" s="247">
        <v>0</v>
      </c>
      <c r="L86" s="247">
        <v>0</v>
      </c>
      <c r="M86" s="247"/>
      <c r="N86" s="247">
        <v>0</v>
      </c>
    </row>
    <row r="87" spans="1:14" ht="26.25" x14ac:dyDescent="0.25">
      <c r="A87" s="225"/>
      <c r="B87" s="27"/>
      <c r="C87" s="259" t="s">
        <v>498</v>
      </c>
      <c r="D87" s="32"/>
      <c r="E87" s="2" t="s">
        <v>493</v>
      </c>
      <c r="F87" s="475">
        <f>F88</f>
        <v>16.7</v>
      </c>
      <c r="G87" s="475"/>
      <c r="H87" s="475">
        <f>H88</f>
        <v>16.7</v>
      </c>
      <c r="I87" s="40">
        <f>I88</f>
        <v>0</v>
      </c>
      <c r="J87" s="40"/>
      <c r="K87" s="40">
        <f>K88</f>
        <v>0</v>
      </c>
      <c r="L87" s="40">
        <f>L88</f>
        <v>0</v>
      </c>
      <c r="M87" s="40"/>
      <c r="N87" s="40">
        <f>N88</f>
        <v>0</v>
      </c>
    </row>
    <row r="88" spans="1:14" ht="26.25" x14ac:dyDescent="0.25">
      <c r="A88" s="225"/>
      <c r="B88" s="27"/>
      <c r="C88" s="259"/>
      <c r="D88" s="32" t="s">
        <v>17</v>
      </c>
      <c r="E88" s="26" t="s">
        <v>18</v>
      </c>
      <c r="F88" s="475">
        <v>16.7</v>
      </c>
      <c r="G88" s="475"/>
      <c r="H88" s="475">
        <v>16.7</v>
      </c>
      <c r="I88" s="40">
        <v>0</v>
      </c>
      <c r="J88" s="40"/>
      <c r="K88" s="40">
        <v>0</v>
      </c>
      <c r="L88" s="40">
        <v>0</v>
      </c>
      <c r="M88" s="40"/>
      <c r="N88" s="40">
        <v>0</v>
      </c>
    </row>
    <row r="89" spans="1:14" x14ac:dyDescent="0.25">
      <c r="A89" s="225"/>
      <c r="B89" s="27"/>
      <c r="C89" s="259" t="s">
        <v>499</v>
      </c>
      <c r="D89" s="32"/>
      <c r="E89" s="2" t="s">
        <v>494</v>
      </c>
      <c r="F89" s="475">
        <f>F90</f>
        <v>69.099999999999994</v>
      </c>
      <c r="G89" s="475"/>
      <c r="H89" s="475">
        <f>H90</f>
        <v>69.099999999999994</v>
      </c>
      <c r="I89" s="40">
        <f>I90</f>
        <v>0</v>
      </c>
      <c r="J89" s="40"/>
      <c r="K89" s="40">
        <f>K90</f>
        <v>0</v>
      </c>
      <c r="L89" s="40">
        <f>L90</f>
        <v>0</v>
      </c>
      <c r="M89" s="40"/>
      <c r="N89" s="40">
        <f>N90</f>
        <v>0</v>
      </c>
    </row>
    <row r="90" spans="1:14" ht="26.25" x14ac:dyDescent="0.25">
      <c r="A90" s="225"/>
      <c r="B90" s="27"/>
      <c r="C90" s="259"/>
      <c r="D90" s="32" t="s">
        <v>17</v>
      </c>
      <c r="E90" s="26" t="s">
        <v>18</v>
      </c>
      <c r="F90" s="475">
        <v>69.099999999999994</v>
      </c>
      <c r="G90" s="475"/>
      <c r="H90" s="475">
        <v>69.099999999999994</v>
      </c>
      <c r="I90" s="40">
        <v>0</v>
      </c>
      <c r="J90" s="40"/>
      <c r="K90" s="40">
        <v>0</v>
      </c>
      <c r="L90" s="40">
        <v>0</v>
      </c>
      <c r="M90" s="40"/>
      <c r="N90" s="40">
        <v>0</v>
      </c>
    </row>
    <row r="91" spans="1:14" x14ac:dyDescent="0.25">
      <c r="A91" s="225"/>
      <c r="B91" s="27"/>
      <c r="C91" s="259" t="s">
        <v>500</v>
      </c>
      <c r="D91" s="32"/>
      <c r="E91" s="2" t="s">
        <v>495</v>
      </c>
      <c r="F91" s="475">
        <f>F92</f>
        <v>28.7</v>
      </c>
      <c r="G91" s="475"/>
      <c r="H91" s="475">
        <f>H92</f>
        <v>28.7</v>
      </c>
      <c r="I91" s="40">
        <f>I92</f>
        <v>0</v>
      </c>
      <c r="J91" s="40"/>
      <c r="K91" s="40">
        <f>K92</f>
        <v>0</v>
      </c>
      <c r="L91" s="40">
        <f>L92</f>
        <v>0</v>
      </c>
      <c r="M91" s="40"/>
      <c r="N91" s="40">
        <f>N92</f>
        <v>0</v>
      </c>
    </row>
    <row r="92" spans="1:14" ht="26.25" x14ac:dyDescent="0.25">
      <c r="A92" s="225"/>
      <c r="B92" s="27"/>
      <c r="C92" s="259"/>
      <c r="D92" s="32" t="s">
        <v>17</v>
      </c>
      <c r="E92" s="26" t="s">
        <v>18</v>
      </c>
      <c r="F92" s="475">
        <v>28.7</v>
      </c>
      <c r="G92" s="475"/>
      <c r="H92" s="475">
        <v>28.7</v>
      </c>
      <c r="I92" s="40">
        <v>0</v>
      </c>
      <c r="J92" s="40"/>
      <c r="K92" s="40">
        <v>0</v>
      </c>
      <c r="L92" s="40">
        <v>0</v>
      </c>
      <c r="M92" s="40"/>
      <c r="N92" s="40">
        <v>0</v>
      </c>
    </row>
    <row r="93" spans="1:14" ht="25.5" x14ac:dyDescent="0.25">
      <c r="A93" s="234"/>
      <c r="B93" s="235"/>
      <c r="C93" s="236" t="s">
        <v>189</v>
      </c>
      <c r="D93" s="261"/>
      <c r="E93" s="305" t="s">
        <v>1109</v>
      </c>
      <c r="F93" s="492">
        <f t="shared" ref="F93:N94" si="20">F94</f>
        <v>32.199999999999996</v>
      </c>
      <c r="G93" s="492">
        <f t="shared" si="20"/>
        <v>1.2999999999999999E-2</v>
      </c>
      <c r="H93" s="492">
        <f t="shared" si="20"/>
        <v>32.213000000000001</v>
      </c>
      <c r="I93" s="238">
        <f t="shared" si="20"/>
        <v>12.2</v>
      </c>
      <c r="J93" s="238">
        <f t="shared" si="20"/>
        <v>0</v>
      </c>
      <c r="K93" s="238">
        <f t="shared" si="20"/>
        <v>12.2</v>
      </c>
      <c r="L93" s="238">
        <f t="shared" si="20"/>
        <v>0</v>
      </c>
      <c r="M93" s="238"/>
      <c r="N93" s="238">
        <f>N94</f>
        <v>0</v>
      </c>
    </row>
    <row r="94" spans="1:14" ht="25.5" x14ac:dyDescent="0.25">
      <c r="A94" s="244"/>
      <c r="B94" s="34"/>
      <c r="C94" s="245" t="s">
        <v>731</v>
      </c>
      <c r="D94" s="34"/>
      <c r="E94" s="253" t="s">
        <v>1059</v>
      </c>
      <c r="F94" s="494">
        <f>F95</f>
        <v>32.199999999999996</v>
      </c>
      <c r="G94" s="494">
        <f t="shared" si="20"/>
        <v>1.2999999999999999E-2</v>
      </c>
      <c r="H94" s="494">
        <f t="shared" si="20"/>
        <v>32.213000000000001</v>
      </c>
      <c r="I94" s="247">
        <f t="shared" si="20"/>
        <v>12.2</v>
      </c>
      <c r="J94" s="247">
        <f t="shared" si="20"/>
        <v>0</v>
      </c>
      <c r="K94" s="247">
        <f t="shared" si="20"/>
        <v>12.2</v>
      </c>
      <c r="L94" s="247">
        <f t="shared" si="20"/>
        <v>0</v>
      </c>
      <c r="M94" s="247">
        <f t="shared" si="20"/>
        <v>0</v>
      </c>
      <c r="N94" s="247">
        <f t="shared" si="20"/>
        <v>0</v>
      </c>
    </row>
    <row r="95" spans="1:14" ht="25.5" x14ac:dyDescent="0.25">
      <c r="A95" s="229"/>
      <c r="B95" s="7"/>
      <c r="C95" s="27" t="s">
        <v>1064</v>
      </c>
      <c r="D95" s="27"/>
      <c r="E95" s="28" t="s">
        <v>1065</v>
      </c>
      <c r="F95" s="472">
        <f>F96</f>
        <v>32.199999999999996</v>
      </c>
      <c r="G95" s="473">
        <f>G96</f>
        <v>1.2999999999999999E-2</v>
      </c>
      <c r="H95" s="472">
        <f>H96</f>
        <v>32.213000000000001</v>
      </c>
      <c r="I95" s="29">
        <v>12.2</v>
      </c>
      <c r="J95" s="29"/>
      <c r="K95" s="29">
        <v>12.2</v>
      </c>
      <c r="L95" s="29"/>
      <c r="M95" s="29"/>
      <c r="N95" s="29">
        <v>0</v>
      </c>
    </row>
    <row r="96" spans="1:14" ht="25.5" x14ac:dyDescent="0.25">
      <c r="A96" s="229"/>
      <c r="B96" s="7"/>
      <c r="C96" s="27"/>
      <c r="D96" s="27" t="s">
        <v>17</v>
      </c>
      <c r="E96" s="28" t="s">
        <v>18</v>
      </c>
      <c r="F96" s="472">
        <f>F97+F98</f>
        <v>32.199999999999996</v>
      </c>
      <c r="G96" s="473">
        <f>G97+G98</f>
        <v>1.2999999999999999E-2</v>
      </c>
      <c r="H96" s="472">
        <f>H97+H98</f>
        <v>32.213000000000001</v>
      </c>
      <c r="I96" s="29">
        <v>12.2</v>
      </c>
      <c r="J96" s="29"/>
      <c r="K96" s="29">
        <v>12.2</v>
      </c>
      <c r="L96" s="29"/>
      <c r="M96" s="29"/>
      <c r="N96" s="29">
        <v>0</v>
      </c>
    </row>
    <row r="97" spans="1:14" x14ac:dyDescent="0.25">
      <c r="A97" s="229"/>
      <c r="B97" s="7"/>
      <c r="C97" s="27"/>
      <c r="D97" s="27"/>
      <c r="E97" s="30" t="s">
        <v>191</v>
      </c>
      <c r="F97" s="472">
        <v>31.9</v>
      </c>
      <c r="G97" s="473">
        <v>-8.9999999999999993E-3</v>
      </c>
      <c r="H97" s="472">
        <f>SUM(F97:G97)</f>
        <v>31.890999999999998</v>
      </c>
      <c r="I97" s="29"/>
      <c r="J97" s="29"/>
      <c r="K97" s="29"/>
      <c r="L97" s="29"/>
      <c r="M97" s="29"/>
      <c r="N97" s="29">
        <v>0</v>
      </c>
    </row>
    <row r="98" spans="1:14" x14ac:dyDescent="0.25">
      <c r="A98" s="229"/>
      <c r="B98" s="7"/>
      <c r="C98" s="27"/>
      <c r="D98" s="27"/>
      <c r="E98" s="30" t="s">
        <v>192</v>
      </c>
      <c r="F98" s="472">
        <v>0.3</v>
      </c>
      <c r="G98" s="473">
        <v>2.1999999999999999E-2</v>
      </c>
      <c r="H98" s="472">
        <f>SUM(F98:G98)</f>
        <v>0.32200000000000001</v>
      </c>
      <c r="I98" s="29">
        <v>12.2</v>
      </c>
      <c r="J98" s="29"/>
      <c r="K98" s="29">
        <v>12.2</v>
      </c>
      <c r="L98" s="29"/>
      <c r="M98" s="29"/>
      <c r="N98" s="29">
        <v>0</v>
      </c>
    </row>
    <row r="99" spans="1:14" ht="26.25" x14ac:dyDescent="0.25">
      <c r="A99" s="260"/>
      <c r="B99" s="261"/>
      <c r="C99" s="11" t="s">
        <v>153</v>
      </c>
      <c r="D99" s="11"/>
      <c r="E99" s="5" t="s">
        <v>154</v>
      </c>
      <c r="F99" s="498">
        <f t="shared" ref="F99:N102" si="21">F100</f>
        <v>330</v>
      </c>
      <c r="G99" s="498"/>
      <c r="H99" s="498">
        <f t="shared" si="21"/>
        <v>330</v>
      </c>
      <c r="I99" s="262">
        <f t="shared" si="21"/>
        <v>330</v>
      </c>
      <c r="J99" s="262"/>
      <c r="K99" s="262">
        <f t="shared" si="21"/>
        <v>330</v>
      </c>
      <c r="L99" s="262">
        <f t="shared" si="21"/>
        <v>330</v>
      </c>
      <c r="M99" s="262"/>
      <c r="N99" s="262">
        <f t="shared" si="21"/>
        <v>330</v>
      </c>
    </row>
    <row r="100" spans="1:14" ht="25.5" x14ac:dyDescent="0.25">
      <c r="A100" s="294"/>
      <c r="B100" s="287"/>
      <c r="C100" s="288" t="s">
        <v>155</v>
      </c>
      <c r="D100" s="287"/>
      <c r="E100" s="295" t="s">
        <v>989</v>
      </c>
      <c r="F100" s="493">
        <f t="shared" si="21"/>
        <v>330</v>
      </c>
      <c r="G100" s="493"/>
      <c r="H100" s="493">
        <f t="shared" si="21"/>
        <v>330</v>
      </c>
      <c r="I100" s="290">
        <f t="shared" si="21"/>
        <v>330</v>
      </c>
      <c r="J100" s="290"/>
      <c r="K100" s="290">
        <f t="shared" si="21"/>
        <v>330</v>
      </c>
      <c r="L100" s="290">
        <f t="shared" si="21"/>
        <v>330</v>
      </c>
      <c r="M100" s="290"/>
      <c r="N100" s="290">
        <f t="shared" si="21"/>
        <v>330</v>
      </c>
    </row>
    <row r="101" spans="1:14" ht="25.5" x14ac:dyDescent="0.25">
      <c r="A101" s="244"/>
      <c r="B101" s="34"/>
      <c r="C101" s="257" t="s">
        <v>802</v>
      </c>
      <c r="D101" s="34"/>
      <c r="E101" s="253" t="s">
        <v>801</v>
      </c>
      <c r="F101" s="494">
        <f t="shared" si="21"/>
        <v>330</v>
      </c>
      <c r="G101" s="494"/>
      <c r="H101" s="494">
        <f t="shared" si="21"/>
        <v>330</v>
      </c>
      <c r="I101" s="247">
        <f t="shared" si="21"/>
        <v>330</v>
      </c>
      <c r="J101" s="247"/>
      <c r="K101" s="247">
        <f t="shared" si="21"/>
        <v>330</v>
      </c>
      <c r="L101" s="247">
        <f t="shared" si="21"/>
        <v>330</v>
      </c>
      <c r="M101" s="247"/>
      <c r="N101" s="247">
        <f t="shared" si="21"/>
        <v>330</v>
      </c>
    </row>
    <row r="102" spans="1:14" ht="26.25" x14ac:dyDescent="0.25">
      <c r="A102" s="225"/>
      <c r="B102" s="27"/>
      <c r="C102" s="32" t="s">
        <v>803</v>
      </c>
      <c r="D102" s="32"/>
      <c r="E102" s="12" t="s">
        <v>804</v>
      </c>
      <c r="F102" s="475">
        <f t="shared" si="21"/>
        <v>330</v>
      </c>
      <c r="G102" s="475"/>
      <c r="H102" s="475">
        <f t="shared" si="21"/>
        <v>330</v>
      </c>
      <c r="I102" s="40">
        <f t="shared" si="21"/>
        <v>330</v>
      </c>
      <c r="J102" s="40"/>
      <c r="K102" s="40">
        <f t="shared" si="21"/>
        <v>330</v>
      </c>
      <c r="L102" s="40">
        <f t="shared" si="21"/>
        <v>330</v>
      </c>
      <c r="M102" s="40"/>
      <c r="N102" s="40">
        <f t="shared" si="21"/>
        <v>330</v>
      </c>
    </row>
    <row r="103" spans="1:14" ht="26.25" x14ac:dyDescent="0.25">
      <c r="A103" s="225"/>
      <c r="B103" s="27"/>
      <c r="C103" s="32"/>
      <c r="D103" s="32" t="s">
        <v>64</v>
      </c>
      <c r="E103" s="26" t="s">
        <v>65</v>
      </c>
      <c r="F103" s="475">
        <v>330</v>
      </c>
      <c r="G103" s="475"/>
      <c r="H103" s="475">
        <v>330</v>
      </c>
      <c r="I103" s="40">
        <v>330</v>
      </c>
      <c r="J103" s="40"/>
      <c r="K103" s="40">
        <v>330</v>
      </c>
      <c r="L103" s="40">
        <v>330</v>
      </c>
      <c r="M103" s="40"/>
      <c r="N103" s="40">
        <v>330</v>
      </c>
    </row>
    <row r="104" spans="1:14" x14ac:dyDescent="0.25">
      <c r="A104" s="229"/>
      <c r="B104" s="7"/>
      <c r="C104" s="230" t="s">
        <v>825</v>
      </c>
      <c r="D104" s="7"/>
      <c r="E104" s="233" t="s">
        <v>1114</v>
      </c>
      <c r="F104" s="491">
        <f>F105</f>
        <v>53010.700000000004</v>
      </c>
      <c r="G104" s="491">
        <f>G105</f>
        <v>40.125000000000007</v>
      </c>
      <c r="H104" s="491">
        <f>H105</f>
        <v>53050.825000000012</v>
      </c>
      <c r="I104" s="232">
        <f>I105</f>
        <v>45306.3</v>
      </c>
      <c r="J104" s="232"/>
      <c r="K104" s="232">
        <f>K105</f>
        <v>45306.3</v>
      </c>
      <c r="L104" s="232">
        <f>L105</f>
        <v>47372</v>
      </c>
      <c r="M104" s="232"/>
      <c r="N104" s="232">
        <f>N105</f>
        <v>47372</v>
      </c>
    </row>
    <row r="105" spans="1:14" ht="38.25" x14ac:dyDescent="0.25">
      <c r="A105" s="229"/>
      <c r="B105" s="7"/>
      <c r="C105" s="230" t="s">
        <v>383</v>
      </c>
      <c r="D105" s="7"/>
      <c r="E105" s="233" t="s">
        <v>1113</v>
      </c>
      <c r="F105" s="491">
        <f>F106+F113+F115+F119+F123+F125+F127+F109+F121+F130+F111+F133</f>
        <v>53010.700000000004</v>
      </c>
      <c r="G105" s="491">
        <f>G106+G113+G115+G119+G123+G125+G127+G109+G121+G130+G111+G133</f>
        <v>40.125000000000007</v>
      </c>
      <c r="H105" s="491">
        <f>H106+H113+H115+H119+H123+H125+H127+H109+H121+H130+H111+H133</f>
        <v>53050.825000000012</v>
      </c>
      <c r="I105" s="232">
        <f>I106+I113+I115+I119+I123+I125+I127+I109</f>
        <v>45306.3</v>
      </c>
      <c r="J105" s="232"/>
      <c r="K105" s="232">
        <f>K106+K113+K115+K119+K123+K125+K127+K109</f>
        <v>45306.3</v>
      </c>
      <c r="L105" s="232">
        <f>L106+L113+L115+L119+L123+L125+L127+L109</f>
        <v>47372</v>
      </c>
      <c r="M105" s="232"/>
      <c r="N105" s="232">
        <f>N106+N113+N115+N119+N123+N125+N127+N109</f>
        <v>47372</v>
      </c>
    </row>
    <row r="106" spans="1:14" ht="25.5" x14ac:dyDescent="0.25">
      <c r="A106" s="225"/>
      <c r="B106" s="27"/>
      <c r="C106" s="248" t="s">
        <v>387</v>
      </c>
      <c r="D106" s="27"/>
      <c r="E106" s="30" t="s">
        <v>834</v>
      </c>
      <c r="F106" s="472">
        <f>F107+F108</f>
        <v>13644.5</v>
      </c>
      <c r="G106" s="472">
        <f>G107+G108</f>
        <v>0</v>
      </c>
      <c r="H106" s="472">
        <f>H107+H108</f>
        <v>13644.5</v>
      </c>
      <c r="I106" s="29">
        <f>I107+I108</f>
        <v>13159.9</v>
      </c>
      <c r="J106" s="29"/>
      <c r="K106" s="29">
        <f>K107+K108</f>
        <v>13159.9</v>
      </c>
      <c r="L106" s="29">
        <f>L107+L108</f>
        <v>13159.9</v>
      </c>
      <c r="M106" s="29"/>
      <c r="N106" s="29">
        <f>N107+N108</f>
        <v>13159.9</v>
      </c>
    </row>
    <row r="107" spans="1:14" ht="39" x14ac:dyDescent="0.25">
      <c r="A107" s="225"/>
      <c r="B107" s="27"/>
      <c r="C107" s="248"/>
      <c r="D107" s="27" t="s">
        <v>30</v>
      </c>
      <c r="E107" s="26" t="s">
        <v>450</v>
      </c>
      <c r="F107" s="472">
        <v>12704.6</v>
      </c>
      <c r="G107" s="472"/>
      <c r="H107" s="472">
        <f>SUM(F107:G107)</f>
        <v>12704.6</v>
      </c>
      <c r="I107" s="29">
        <v>12224.9</v>
      </c>
      <c r="J107" s="29"/>
      <c r="K107" s="29">
        <v>12224.9</v>
      </c>
      <c r="L107" s="29">
        <v>12224.9</v>
      </c>
      <c r="M107" s="29"/>
      <c r="N107" s="29">
        <v>12224.9</v>
      </c>
    </row>
    <row r="108" spans="1:14" ht="25.5" x14ac:dyDescent="0.25">
      <c r="A108" s="225"/>
      <c r="B108" s="27"/>
      <c r="C108" s="248"/>
      <c r="D108" s="27" t="s">
        <v>17</v>
      </c>
      <c r="E108" s="30" t="s">
        <v>18</v>
      </c>
      <c r="F108" s="472">
        <v>939.9</v>
      </c>
      <c r="G108" s="472"/>
      <c r="H108" s="472">
        <f>SUM(F108:G108)</f>
        <v>939.9</v>
      </c>
      <c r="I108" s="29">
        <v>935</v>
      </c>
      <c r="J108" s="29"/>
      <c r="K108" s="29">
        <v>935</v>
      </c>
      <c r="L108" s="29">
        <v>935</v>
      </c>
      <c r="M108" s="29"/>
      <c r="N108" s="29">
        <v>935</v>
      </c>
    </row>
    <row r="109" spans="1:14" ht="39" x14ac:dyDescent="0.25">
      <c r="A109" s="225"/>
      <c r="B109" s="27"/>
      <c r="C109" s="259" t="s">
        <v>478</v>
      </c>
      <c r="D109" s="32"/>
      <c r="E109" s="26" t="s">
        <v>69</v>
      </c>
      <c r="F109" s="472">
        <v>90</v>
      </c>
      <c r="G109" s="473">
        <f>G110</f>
        <v>4.194</v>
      </c>
      <c r="H109" s="472">
        <f>H110</f>
        <v>94.194000000000003</v>
      </c>
      <c r="I109" s="29">
        <v>115</v>
      </c>
      <c r="J109" s="29"/>
      <c r="K109" s="29">
        <v>115</v>
      </c>
      <c r="L109" s="29">
        <v>106</v>
      </c>
      <c r="M109" s="29"/>
      <c r="N109" s="29">
        <v>106</v>
      </c>
    </row>
    <row r="110" spans="1:14" ht="39" x14ac:dyDescent="0.25">
      <c r="A110" s="225"/>
      <c r="B110" s="27"/>
      <c r="C110" s="259"/>
      <c r="D110" s="32" t="s">
        <v>30</v>
      </c>
      <c r="E110" s="26" t="s">
        <v>450</v>
      </c>
      <c r="F110" s="472">
        <v>90</v>
      </c>
      <c r="G110" s="473">
        <v>4.194</v>
      </c>
      <c r="H110" s="472">
        <f>SUM(F110:G110)</f>
        <v>94.194000000000003</v>
      </c>
      <c r="I110" s="29">
        <v>115</v>
      </c>
      <c r="J110" s="29"/>
      <c r="K110" s="29">
        <v>115</v>
      </c>
      <c r="L110" s="29">
        <v>106</v>
      </c>
      <c r="M110" s="29"/>
      <c r="N110" s="29">
        <v>106</v>
      </c>
    </row>
    <row r="111" spans="1:14" ht="25.5" x14ac:dyDescent="0.25">
      <c r="A111" s="225"/>
      <c r="B111" s="27"/>
      <c r="C111" s="248" t="s">
        <v>1169</v>
      </c>
      <c r="D111" s="27"/>
      <c r="E111" s="28" t="s">
        <v>1168</v>
      </c>
      <c r="F111" s="472">
        <v>79</v>
      </c>
      <c r="G111" s="472"/>
      <c r="H111" s="472">
        <v>79</v>
      </c>
      <c r="I111" s="29"/>
      <c r="J111" s="29"/>
      <c r="K111" s="29">
        <v>0</v>
      </c>
      <c r="L111" s="29"/>
      <c r="M111" s="29"/>
      <c r="N111" s="29">
        <v>0</v>
      </c>
    </row>
    <row r="112" spans="1:14" ht="39" x14ac:dyDescent="0.25">
      <c r="A112" s="225"/>
      <c r="B112" s="27"/>
      <c r="C112" s="248"/>
      <c r="D112" s="27" t="s">
        <v>30</v>
      </c>
      <c r="E112" s="26" t="s">
        <v>450</v>
      </c>
      <c r="F112" s="472">
        <v>79</v>
      </c>
      <c r="G112" s="472"/>
      <c r="H112" s="472">
        <v>79</v>
      </c>
      <c r="I112" s="29"/>
      <c r="J112" s="29"/>
      <c r="K112" s="29">
        <v>0</v>
      </c>
      <c r="L112" s="29"/>
      <c r="M112" s="29"/>
      <c r="N112" s="29">
        <v>0</v>
      </c>
    </row>
    <row r="113" spans="1:14" ht="51" x14ac:dyDescent="0.25">
      <c r="A113" s="225"/>
      <c r="B113" s="27"/>
      <c r="C113" s="248" t="s">
        <v>389</v>
      </c>
      <c r="D113" s="27"/>
      <c r="E113" s="28" t="s">
        <v>1115</v>
      </c>
      <c r="F113" s="472">
        <f>F114</f>
        <v>7828.1</v>
      </c>
      <c r="G113" s="472">
        <f>G114</f>
        <v>0</v>
      </c>
      <c r="H113" s="472">
        <f>H114</f>
        <v>7828.1</v>
      </c>
      <c r="I113" s="29">
        <f>I114</f>
        <v>7638.5</v>
      </c>
      <c r="J113" s="29"/>
      <c r="K113" s="29">
        <f>K114</f>
        <v>7638.5</v>
      </c>
      <c r="L113" s="29">
        <f>L114</f>
        <v>7638.5</v>
      </c>
      <c r="M113" s="29"/>
      <c r="N113" s="29">
        <f>N114</f>
        <v>7638.5</v>
      </c>
    </row>
    <row r="114" spans="1:14" ht="39" x14ac:dyDescent="0.25">
      <c r="A114" s="225"/>
      <c r="B114" s="27"/>
      <c r="C114" s="248"/>
      <c r="D114" s="27" t="s">
        <v>30</v>
      </c>
      <c r="E114" s="26" t="s">
        <v>450</v>
      </c>
      <c r="F114" s="472">
        <v>7828.1</v>
      </c>
      <c r="G114" s="472"/>
      <c r="H114" s="472">
        <f>SUM(F114:G114)</f>
        <v>7828.1</v>
      </c>
      <c r="I114" s="29">
        <v>7638.5</v>
      </c>
      <c r="J114" s="29"/>
      <c r="K114" s="29">
        <v>7638.5</v>
      </c>
      <c r="L114" s="29">
        <v>7638.5</v>
      </c>
      <c r="M114" s="29"/>
      <c r="N114" s="29">
        <v>7638.5</v>
      </c>
    </row>
    <row r="115" spans="1:14" ht="25.5" x14ac:dyDescent="0.25">
      <c r="A115" s="225"/>
      <c r="B115" s="27"/>
      <c r="C115" s="248" t="s">
        <v>391</v>
      </c>
      <c r="D115" s="27"/>
      <c r="E115" s="30" t="s">
        <v>835</v>
      </c>
      <c r="F115" s="472">
        <f>F116+F117+F118</f>
        <v>29201.200000000001</v>
      </c>
      <c r="G115" s="472">
        <f>G116+G117+G118</f>
        <v>0</v>
      </c>
      <c r="H115" s="472">
        <f>H116+H117+H118</f>
        <v>29201.200000000001</v>
      </c>
      <c r="I115" s="29">
        <f>I116+I117+I118</f>
        <v>24392.9</v>
      </c>
      <c r="J115" s="29"/>
      <c r="K115" s="29">
        <f>K116+K117+K118</f>
        <v>24392.9</v>
      </c>
      <c r="L115" s="29">
        <f>L116+L117+L118</f>
        <v>26467.599999999999</v>
      </c>
      <c r="M115" s="29"/>
      <c r="N115" s="29">
        <f>N116+N117+N118</f>
        <v>26467.599999999999</v>
      </c>
    </row>
    <row r="116" spans="1:14" ht="39" x14ac:dyDescent="0.25">
      <c r="A116" s="225"/>
      <c r="B116" s="27"/>
      <c r="C116" s="248"/>
      <c r="D116" s="27" t="s">
        <v>30</v>
      </c>
      <c r="E116" s="26" t="s">
        <v>450</v>
      </c>
      <c r="F116" s="469">
        <v>14780</v>
      </c>
      <c r="G116" s="469"/>
      <c r="H116" s="469">
        <f>SUM(F116:G116)</f>
        <v>14780</v>
      </c>
      <c r="I116" s="38">
        <v>12455.7</v>
      </c>
      <c r="J116" s="38"/>
      <c r="K116" s="38">
        <v>12455.7</v>
      </c>
      <c r="L116" s="38">
        <v>12455.7</v>
      </c>
      <c r="M116" s="38"/>
      <c r="N116" s="38">
        <v>12455.7</v>
      </c>
    </row>
    <row r="117" spans="1:14" ht="25.5" x14ac:dyDescent="0.25">
      <c r="A117" s="225"/>
      <c r="B117" s="27"/>
      <c r="C117" s="248"/>
      <c r="D117" s="27" t="s">
        <v>17</v>
      </c>
      <c r="E117" s="30" t="s">
        <v>18</v>
      </c>
      <c r="F117" s="476">
        <v>13800.3</v>
      </c>
      <c r="G117" s="476"/>
      <c r="H117" s="476">
        <f>SUM(F117:G117)</f>
        <v>13800.3</v>
      </c>
      <c r="I117" s="38">
        <f>13496.8-1313.9-258.8-497.7-4.3</f>
        <v>11422.1</v>
      </c>
      <c r="J117" s="38"/>
      <c r="K117" s="38">
        <f>13496.8-1313.9-258.8-497.7-4.3</f>
        <v>11422.1</v>
      </c>
      <c r="L117" s="38">
        <v>13496.8</v>
      </c>
      <c r="M117" s="38"/>
      <c r="N117" s="38">
        <v>13496.8</v>
      </c>
    </row>
    <row r="118" spans="1:14" x14ac:dyDescent="0.25">
      <c r="A118" s="225"/>
      <c r="B118" s="27"/>
      <c r="C118" s="248"/>
      <c r="D118" s="27" t="s">
        <v>32</v>
      </c>
      <c r="E118" s="30" t="s">
        <v>33</v>
      </c>
      <c r="F118" s="476">
        <v>620.9</v>
      </c>
      <c r="G118" s="476"/>
      <c r="H118" s="476">
        <f>SUM(F118:G118)</f>
        <v>620.9</v>
      </c>
      <c r="I118" s="38">
        <v>515.1</v>
      </c>
      <c r="J118" s="38"/>
      <c r="K118" s="38">
        <v>515.1</v>
      </c>
      <c r="L118" s="38">
        <v>515.1</v>
      </c>
      <c r="M118" s="38"/>
      <c r="N118" s="38">
        <v>515.1</v>
      </c>
    </row>
    <row r="119" spans="1:14" ht="25.5" customHeight="1" x14ac:dyDescent="0.25">
      <c r="A119" s="225"/>
      <c r="B119" s="27"/>
      <c r="C119" s="248" t="s">
        <v>393</v>
      </c>
      <c r="D119" s="27"/>
      <c r="E119" s="28" t="s">
        <v>394</v>
      </c>
      <c r="F119" s="472">
        <f>F120</f>
        <v>1197.8</v>
      </c>
      <c r="G119" s="472">
        <f>G120</f>
        <v>0</v>
      </c>
      <c r="H119" s="472">
        <f>H120</f>
        <v>1197.8</v>
      </c>
      <c r="I119" s="29">
        <f>I120</f>
        <v>0</v>
      </c>
      <c r="J119" s="29"/>
      <c r="K119" s="29">
        <f>K120</f>
        <v>0</v>
      </c>
      <c r="L119" s="29">
        <f>L120</f>
        <v>0</v>
      </c>
      <c r="M119" s="29"/>
      <c r="N119" s="29">
        <f>N120</f>
        <v>0</v>
      </c>
    </row>
    <row r="120" spans="1:14" ht="34.5" customHeight="1" x14ac:dyDescent="0.25">
      <c r="A120" s="225"/>
      <c r="B120" s="27"/>
      <c r="C120" s="248"/>
      <c r="D120" s="27" t="s">
        <v>17</v>
      </c>
      <c r="E120" s="28" t="s">
        <v>18</v>
      </c>
      <c r="F120" s="472">
        <v>1197.8</v>
      </c>
      <c r="G120" s="472"/>
      <c r="H120" s="472">
        <v>1197.8</v>
      </c>
      <c r="I120" s="29">
        <v>0</v>
      </c>
      <c r="J120" s="29"/>
      <c r="K120" s="29">
        <v>0</v>
      </c>
      <c r="L120" s="29">
        <v>0</v>
      </c>
      <c r="M120" s="29"/>
      <c r="N120" s="29">
        <v>0</v>
      </c>
    </row>
    <row r="121" spans="1:14" ht="25.5" x14ac:dyDescent="0.25">
      <c r="A121" s="225"/>
      <c r="B121" s="27"/>
      <c r="C121" s="157" t="s">
        <v>399</v>
      </c>
      <c r="D121" s="192"/>
      <c r="E121" s="188" t="s">
        <v>400</v>
      </c>
      <c r="F121" s="472">
        <v>8.1999999999999993</v>
      </c>
      <c r="G121" s="472"/>
      <c r="H121" s="472">
        <f>H122</f>
        <v>8.1999999999999993</v>
      </c>
      <c r="I121" s="29"/>
      <c r="J121" s="29"/>
      <c r="K121" s="29">
        <v>0</v>
      </c>
      <c r="L121" s="29"/>
      <c r="M121" s="29"/>
      <c r="N121" s="29">
        <v>0</v>
      </c>
    </row>
    <row r="122" spans="1:14" x14ac:dyDescent="0.25">
      <c r="A122" s="225"/>
      <c r="B122" s="27"/>
      <c r="C122" s="157"/>
      <c r="D122" s="192" t="s">
        <v>32</v>
      </c>
      <c r="E122" s="188" t="s">
        <v>33</v>
      </c>
      <c r="F122" s="472">
        <v>8.1999999999999993</v>
      </c>
      <c r="G122" s="472"/>
      <c r="H122" s="472">
        <v>8.1999999999999993</v>
      </c>
      <c r="I122" s="29"/>
      <c r="J122" s="29"/>
      <c r="K122" s="29">
        <v>0</v>
      </c>
      <c r="L122" s="29"/>
      <c r="M122" s="29"/>
      <c r="N122" s="29">
        <v>0</v>
      </c>
    </row>
    <row r="123" spans="1:14" ht="25.5" x14ac:dyDescent="0.25">
      <c r="A123" s="225"/>
      <c r="B123" s="27"/>
      <c r="C123" s="248" t="s">
        <v>401</v>
      </c>
      <c r="D123" s="27"/>
      <c r="E123" s="30" t="s">
        <v>402</v>
      </c>
      <c r="F123" s="472">
        <f>F124</f>
        <v>200</v>
      </c>
      <c r="G123" s="472"/>
      <c r="H123" s="472">
        <f>H124</f>
        <v>200</v>
      </c>
      <c r="I123" s="29">
        <f>I124</f>
        <v>0</v>
      </c>
      <c r="J123" s="29"/>
      <c r="K123" s="29">
        <f>K124</f>
        <v>0</v>
      </c>
      <c r="L123" s="29">
        <f>L124</f>
        <v>0</v>
      </c>
      <c r="M123" s="29"/>
      <c r="N123" s="29">
        <f>N124</f>
        <v>0</v>
      </c>
    </row>
    <row r="124" spans="1:14" ht="25.5" x14ac:dyDescent="0.25">
      <c r="A124" s="225"/>
      <c r="B124" s="27"/>
      <c r="C124" s="248"/>
      <c r="D124" s="27" t="s">
        <v>17</v>
      </c>
      <c r="E124" s="30" t="s">
        <v>18</v>
      </c>
      <c r="F124" s="472">
        <v>200</v>
      </c>
      <c r="G124" s="472"/>
      <c r="H124" s="472">
        <v>200</v>
      </c>
      <c r="I124" s="29">
        <v>0</v>
      </c>
      <c r="J124" s="29"/>
      <c r="K124" s="29">
        <v>0</v>
      </c>
      <c r="L124" s="29">
        <v>0</v>
      </c>
      <c r="M124" s="29"/>
      <c r="N124" s="29">
        <v>0</v>
      </c>
    </row>
    <row r="125" spans="1:14" x14ac:dyDescent="0.25">
      <c r="A125" s="229"/>
      <c r="B125" s="7"/>
      <c r="C125" s="248" t="s">
        <v>403</v>
      </c>
      <c r="D125" s="27"/>
      <c r="E125" s="30" t="s">
        <v>404</v>
      </c>
      <c r="F125" s="472">
        <v>240</v>
      </c>
      <c r="G125" s="472"/>
      <c r="H125" s="472">
        <v>240</v>
      </c>
      <c r="I125" s="29">
        <f>I126</f>
        <v>0</v>
      </c>
      <c r="J125" s="29"/>
      <c r="K125" s="29">
        <f>K126</f>
        <v>0</v>
      </c>
      <c r="L125" s="29">
        <f>L126</f>
        <v>0</v>
      </c>
      <c r="M125" s="29"/>
      <c r="N125" s="29">
        <f>N126</f>
        <v>0</v>
      </c>
    </row>
    <row r="126" spans="1:14" x14ac:dyDescent="0.25">
      <c r="A126" s="225"/>
      <c r="B126" s="27"/>
      <c r="C126" s="248"/>
      <c r="D126" s="27" t="s">
        <v>32</v>
      </c>
      <c r="E126" s="30" t="s">
        <v>33</v>
      </c>
      <c r="F126" s="472">
        <v>240</v>
      </c>
      <c r="G126" s="473"/>
      <c r="H126" s="472">
        <v>240</v>
      </c>
      <c r="I126" s="29">
        <v>0</v>
      </c>
      <c r="J126" s="29"/>
      <c r="K126" s="29">
        <v>0</v>
      </c>
      <c r="L126" s="29">
        <v>0</v>
      </c>
      <c r="M126" s="29"/>
      <c r="N126" s="29">
        <v>0</v>
      </c>
    </row>
    <row r="127" spans="1:14" ht="39" x14ac:dyDescent="0.25">
      <c r="A127" s="225"/>
      <c r="B127" s="27"/>
      <c r="C127" s="157" t="s">
        <v>406</v>
      </c>
      <c r="D127" s="157"/>
      <c r="E127" s="159" t="s">
        <v>407</v>
      </c>
      <c r="F127" s="472">
        <f>F128</f>
        <v>158.9</v>
      </c>
      <c r="G127" s="473">
        <f>G128</f>
        <v>-8.6999999999999994E-2</v>
      </c>
      <c r="H127" s="472">
        <f>H128</f>
        <v>158.81300000000002</v>
      </c>
      <c r="I127" s="29">
        <v>0</v>
      </c>
      <c r="J127" s="29"/>
      <c r="K127" s="29">
        <v>0</v>
      </c>
      <c r="L127" s="29">
        <v>0</v>
      </c>
      <c r="M127" s="29"/>
      <c r="N127" s="29">
        <v>0</v>
      </c>
    </row>
    <row r="128" spans="1:14" x14ac:dyDescent="0.25">
      <c r="A128" s="225"/>
      <c r="B128" s="27"/>
      <c r="C128" s="157"/>
      <c r="D128" s="157" t="s">
        <v>32</v>
      </c>
      <c r="E128" s="159" t="s">
        <v>33</v>
      </c>
      <c r="F128" s="472">
        <v>158.9</v>
      </c>
      <c r="G128" s="473">
        <f>G129</f>
        <v>-8.6999999999999994E-2</v>
      </c>
      <c r="H128" s="472">
        <f>SUM(F128:G128)</f>
        <v>158.81300000000002</v>
      </c>
      <c r="I128" s="29">
        <v>0</v>
      </c>
      <c r="J128" s="29"/>
      <c r="K128" s="29">
        <v>0</v>
      </c>
      <c r="L128" s="29">
        <v>0</v>
      </c>
      <c r="M128" s="29"/>
      <c r="N128" s="29">
        <v>0</v>
      </c>
    </row>
    <row r="129" spans="1:14" x14ac:dyDescent="0.25">
      <c r="A129" s="225"/>
      <c r="B129" s="27"/>
      <c r="C129" s="157"/>
      <c r="D129" s="157"/>
      <c r="E129" s="159" t="s">
        <v>191</v>
      </c>
      <c r="F129" s="472">
        <v>158.9</v>
      </c>
      <c r="G129" s="473">
        <v>-8.6999999999999994E-2</v>
      </c>
      <c r="H129" s="472">
        <f>SUM(F129:G129)</f>
        <v>158.81300000000002</v>
      </c>
      <c r="I129" s="29">
        <v>0</v>
      </c>
      <c r="J129" s="29"/>
      <c r="K129" s="29">
        <v>0</v>
      </c>
      <c r="L129" s="29">
        <v>0</v>
      </c>
      <c r="M129" s="29"/>
      <c r="N129" s="29">
        <v>0</v>
      </c>
    </row>
    <row r="130" spans="1:14" ht="25.5" x14ac:dyDescent="0.25">
      <c r="A130" s="225"/>
      <c r="B130" s="27"/>
      <c r="C130" s="46" t="s">
        <v>1104</v>
      </c>
      <c r="D130" s="46"/>
      <c r="E130" s="28" t="s">
        <v>1105</v>
      </c>
      <c r="F130" s="472">
        <v>0</v>
      </c>
      <c r="G130" s="473">
        <v>4.8000000000000001E-2</v>
      </c>
      <c r="H130" s="472">
        <v>4.8000000000000001E-2</v>
      </c>
      <c r="I130" s="29">
        <v>0</v>
      </c>
      <c r="J130" s="29"/>
      <c r="K130" s="29">
        <v>0</v>
      </c>
      <c r="L130" s="29">
        <v>0</v>
      </c>
      <c r="M130" s="29"/>
      <c r="N130" s="29">
        <v>0</v>
      </c>
    </row>
    <row r="131" spans="1:14" x14ac:dyDescent="0.25">
      <c r="A131" s="225"/>
      <c r="B131" s="27"/>
      <c r="C131" s="157"/>
      <c r="D131" s="157" t="s">
        <v>32</v>
      </c>
      <c r="E131" s="159" t="s">
        <v>33</v>
      </c>
      <c r="F131" s="472">
        <v>0</v>
      </c>
      <c r="G131" s="473">
        <v>4.8000000000000001E-2</v>
      </c>
      <c r="H131" s="472">
        <v>4.8000000000000001E-2</v>
      </c>
      <c r="I131" s="29">
        <v>0</v>
      </c>
      <c r="J131" s="29"/>
      <c r="K131" s="29">
        <v>0</v>
      </c>
      <c r="L131" s="29">
        <v>0</v>
      </c>
      <c r="M131" s="29"/>
      <c r="N131" s="29">
        <v>0</v>
      </c>
    </row>
    <row r="132" spans="1:14" x14ac:dyDescent="0.25">
      <c r="A132" s="225"/>
      <c r="B132" s="27"/>
      <c r="C132" s="157"/>
      <c r="D132" s="157"/>
      <c r="E132" s="159" t="s">
        <v>191</v>
      </c>
      <c r="F132" s="472">
        <v>0</v>
      </c>
      <c r="G132" s="473">
        <v>4.8000000000000001E-2</v>
      </c>
      <c r="H132" s="472">
        <v>4.8000000000000001E-2</v>
      </c>
      <c r="I132" s="29">
        <v>0</v>
      </c>
      <c r="J132" s="29"/>
      <c r="K132" s="29">
        <v>0</v>
      </c>
      <c r="L132" s="29">
        <v>0</v>
      </c>
      <c r="M132" s="29"/>
      <c r="N132" s="29">
        <v>0</v>
      </c>
    </row>
    <row r="133" spans="1:14" ht="26.25" x14ac:dyDescent="0.25">
      <c r="A133" s="225"/>
      <c r="B133" s="27"/>
      <c r="C133" s="449" t="s">
        <v>398</v>
      </c>
      <c r="D133" s="449"/>
      <c r="E133" s="159" t="s">
        <v>809</v>
      </c>
      <c r="F133" s="472">
        <f t="shared" ref="F133:G133" si="22">F134+F135</f>
        <v>363</v>
      </c>
      <c r="G133" s="472">
        <f t="shared" si="22"/>
        <v>35.970000000000006</v>
      </c>
      <c r="H133" s="472">
        <f t="shared" ref="H133" si="23">H134+H135</f>
        <v>398.97</v>
      </c>
      <c r="I133" s="29"/>
      <c r="J133" s="29"/>
      <c r="K133" s="29">
        <v>0</v>
      </c>
      <c r="L133" s="29"/>
      <c r="M133" s="29"/>
      <c r="N133" s="29">
        <v>0</v>
      </c>
    </row>
    <row r="134" spans="1:14" ht="25.5" x14ac:dyDescent="0.25">
      <c r="A134" s="225"/>
      <c r="B134" s="27"/>
      <c r="C134" s="449"/>
      <c r="D134" s="449" t="s">
        <v>17</v>
      </c>
      <c r="E134" s="30" t="s">
        <v>18</v>
      </c>
      <c r="F134" s="472">
        <v>128.19999999999999</v>
      </c>
      <c r="G134" s="472">
        <v>36.029000000000003</v>
      </c>
      <c r="H134" s="472">
        <f>F134+G134</f>
        <v>164.22899999999998</v>
      </c>
      <c r="I134" s="29"/>
      <c r="J134" s="29"/>
      <c r="K134" s="29">
        <v>0</v>
      </c>
      <c r="L134" s="29"/>
      <c r="M134" s="29"/>
      <c r="N134" s="29">
        <v>0</v>
      </c>
    </row>
    <row r="135" spans="1:14" x14ac:dyDescent="0.25">
      <c r="A135" s="225"/>
      <c r="B135" s="27"/>
      <c r="C135" s="449"/>
      <c r="D135" s="449" t="s">
        <v>37</v>
      </c>
      <c r="E135" s="28" t="s">
        <v>38</v>
      </c>
      <c r="F135" s="472">
        <v>234.8</v>
      </c>
      <c r="G135" s="472">
        <v>-5.8999999999999997E-2</v>
      </c>
      <c r="H135" s="472">
        <f>F135+G135</f>
        <v>234.74100000000001</v>
      </c>
      <c r="I135" s="29"/>
      <c r="J135" s="29"/>
      <c r="K135" s="29"/>
      <c r="L135" s="29"/>
      <c r="M135" s="29"/>
      <c r="N135" s="29"/>
    </row>
    <row r="136" spans="1:14" s="258" customFormat="1" x14ac:dyDescent="0.25">
      <c r="A136" s="229"/>
      <c r="B136" s="7" t="s">
        <v>836</v>
      </c>
      <c r="C136" s="230"/>
      <c r="D136" s="7"/>
      <c r="E136" s="231" t="s">
        <v>837</v>
      </c>
      <c r="F136" s="491">
        <f>SUM(F137)</f>
        <v>952</v>
      </c>
      <c r="G136" s="491">
        <f t="shared" ref="G136:G141" si="24">G137</f>
        <v>54.5</v>
      </c>
      <c r="H136" s="491">
        <f>SUM(H137)</f>
        <v>1006.5</v>
      </c>
      <c r="I136" s="232">
        <f>SUM(I137)</f>
        <v>981.3</v>
      </c>
      <c r="J136" s="232"/>
      <c r="K136" s="232">
        <f>SUM(K137)</f>
        <v>981.3</v>
      </c>
      <c r="L136" s="232">
        <f>SUM(L137)</f>
        <v>1014.2</v>
      </c>
      <c r="M136" s="232"/>
      <c r="N136" s="232">
        <f>SUM(N137)</f>
        <v>1014.2</v>
      </c>
    </row>
    <row r="137" spans="1:14" x14ac:dyDescent="0.25">
      <c r="A137" s="229"/>
      <c r="B137" s="7" t="s">
        <v>838</v>
      </c>
      <c r="C137" s="230"/>
      <c r="D137" s="7"/>
      <c r="E137" s="231" t="s">
        <v>839</v>
      </c>
      <c r="F137" s="491">
        <f t="shared" ref="F137:N140" si="25">F138</f>
        <v>952</v>
      </c>
      <c r="G137" s="491">
        <f t="shared" si="24"/>
        <v>54.5</v>
      </c>
      <c r="H137" s="491">
        <f t="shared" si="25"/>
        <v>1006.5</v>
      </c>
      <c r="I137" s="232">
        <f t="shared" si="25"/>
        <v>981.3</v>
      </c>
      <c r="J137" s="232"/>
      <c r="K137" s="232">
        <f t="shared" si="25"/>
        <v>981.3</v>
      </c>
      <c r="L137" s="232">
        <f t="shared" si="25"/>
        <v>1014.2</v>
      </c>
      <c r="M137" s="232"/>
      <c r="N137" s="232">
        <f t="shared" si="25"/>
        <v>1014.2</v>
      </c>
    </row>
    <row r="138" spans="1:14" ht="25.5" x14ac:dyDescent="0.25">
      <c r="A138" s="234"/>
      <c r="B138" s="235"/>
      <c r="C138" s="236" t="s">
        <v>11</v>
      </c>
      <c r="D138" s="235"/>
      <c r="E138" s="237" t="s">
        <v>12</v>
      </c>
      <c r="F138" s="492">
        <f t="shared" si="25"/>
        <v>952</v>
      </c>
      <c r="G138" s="492">
        <f t="shared" si="24"/>
        <v>54.5</v>
      </c>
      <c r="H138" s="492">
        <f t="shared" si="25"/>
        <v>1006.5</v>
      </c>
      <c r="I138" s="238">
        <f t="shared" si="25"/>
        <v>981.3</v>
      </c>
      <c r="J138" s="238"/>
      <c r="K138" s="238">
        <f t="shared" si="25"/>
        <v>981.3</v>
      </c>
      <c r="L138" s="238">
        <f t="shared" si="25"/>
        <v>1014.2</v>
      </c>
      <c r="M138" s="238"/>
      <c r="N138" s="238">
        <f t="shared" si="25"/>
        <v>1014.2</v>
      </c>
    </row>
    <row r="139" spans="1:14" ht="38.25" x14ac:dyDescent="0.25">
      <c r="A139" s="294"/>
      <c r="B139" s="287"/>
      <c r="C139" s="288" t="s">
        <v>39</v>
      </c>
      <c r="D139" s="287"/>
      <c r="E139" s="295" t="s">
        <v>824</v>
      </c>
      <c r="F139" s="493">
        <f t="shared" si="25"/>
        <v>952</v>
      </c>
      <c r="G139" s="493">
        <f t="shared" si="24"/>
        <v>54.5</v>
      </c>
      <c r="H139" s="493">
        <f t="shared" si="25"/>
        <v>1006.5</v>
      </c>
      <c r="I139" s="290">
        <f t="shared" si="25"/>
        <v>981.3</v>
      </c>
      <c r="J139" s="290"/>
      <c r="K139" s="290">
        <f t="shared" si="25"/>
        <v>981.3</v>
      </c>
      <c r="L139" s="290">
        <f t="shared" si="25"/>
        <v>1014.2</v>
      </c>
      <c r="M139" s="290"/>
      <c r="N139" s="290">
        <f t="shared" si="25"/>
        <v>1014.2</v>
      </c>
    </row>
    <row r="140" spans="1:14" ht="25.5" x14ac:dyDescent="0.25">
      <c r="A140" s="244"/>
      <c r="B140" s="34"/>
      <c r="C140" s="245" t="s">
        <v>41</v>
      </c>
      <c r="D140" s="34"/>
      <c r="E140" s="253" t="s">
        <v>42</v>
      </c>
      <c r="F140" s="494">
        <f t="shared" si="25"/>
        <v>952</v>
      </c>
      <c r="G140" s="494">
        <f t="shared" si="24"/>
        <v>54.5</v>
      </c>
      <c r="H140" s="494">
        <f t="shared" si="25"/>
        <v>1006.5</v>
      </c>
      <c r="I140" s="247">
        <f t="shared" si="25"/>
        <v>981.3</v>
      </c>
      <c r="J140" s="247"/>
      <c r="K140" s="247">
        <f t="shared" si="25"/>
        <v>981.3</v>
      </c>
      <c r="L140" s="247">
        <f t="shared" si="25"/>
        <v>1014.2</v>
      </c>
      <c r="M140" s="247"/>
      <c r="N140" s="247">
        <f t="shared" si="25"/>
        <v>1014.2</v>
      </c>
    </row>
    <row r="141" spans="1:14" ht="25.5" x14ac:dyDescent="0.25">
      <c r="A141" s="225"/>
      <c r="B141" s="27"/>
      <c r="C141" s="248" t="s">
        <v>54</v>
      </c>
      <c r="D141" s="27"/>
      <c r="E141" s="28" t="s">
        <v>55</v>
      </c>
      <c r="F141" s="472">
        <f>F142+F143</f>
        <v>952</v>
      </c>
      <c r="G141" s="473">
        <f t="shared" si="24"/>
        <v>54.5</v>
      </c>
      <c r="H141" s="472">
        <f>H142+H143</f>
        <v>1006.5</v>
      </c>
      <c r="I141" s="29">
        <f>I142+I143</f>
        <v>981.3</v>
      </c>
      <c r="J141" s="29"/>
      <c r="K141" s="29">
        <f>K142+K143</f>
        <v>981.3</v>
      </c>
      <c r="L141" s="29">
        <f>L142+L143</f>
        <v>1014.2</v>
      </c>
      <c r="M141" s="29"/>
      <c r="N141" s="29">
        <f>N142+N143</f>
        <v>1014.2</v>
      </c>
    </row>
    <row r="142" spans="1:14" ht="39" x14ac:dyDescent="0.25">
      <c r="A142" s="225"/>
      <c r="B142" s="27"/>
      <c r="C142" s="248"/>
      <c r="D142" s="27" t="s">
        <v>30</v>
      </c>
      <c r="E142" s="26" t="s">
        <v>450</v>
      </c>
      <c r="F142" s="476">
        <v>929.4</v>
      </c>
      <c r="G142" s="482">
        <v>54.5</v>
      </c>
      <c r="H142" s="476">
        <f>SUM(F142+G142)</f>
        <v>983.9</v>
      </c>
      <c r="I142" s="38">
        <v>981.3</v>
      </c>
      <c r="J142" s="38"/>
      <c r="K142" s="38">
        <v>981.3</v>
      </c>
      <c r="L142" s="38">
        <v>1014.2</v>
      </c>
      <c r="M142" s="38"/>
      <c r="N142" s="38">
        <v>1014.2</v>
      </c>
    </row>
    <row r="143" spans="1:14" ht="25.5" x14ac:dyDescent="0.25">
      <c r="A143" s="225"/>
      <c r="B143" s="27"/>
      <c r="C143" s="248"/>
      <c r="D143" s="27" t="s">
        <v>17</v>
      </c>
      <c r="E143" s="28" t="s">
        <v>18</v>
      </c>
      <c r="F143" s="476">
        <v>22.6</v>
      </c>
      <c r="G143" s="476"/>
      <c r="H143" s="476">
        <v>22.6</v>
      </c>
      <c r="I143" s="40">
        <v>0</v>
      </c>
      <c r="J143" s="40"/>
      <c r="K143" s="40">
        <v>0</v>
      </c>
      <c r="L143" s="40">
        <v>0</v>
      </c>
      <c r="M143" s="40"/>
      <c r="N143" s="40">
        <v>0</v>
      </c>
    </row>
    <row r="144" spans="1:14" x14ac:dyDescent="0.25">
      <c r="A144" s="229"/>
      <c r="B144" s="7" t="s">
        <v>840</v>
      </c>
      <c r="C144" s="230"/>
      <c r="D144" s="229"/>
      <c r="E144" s="231" t="s">
        <v>841</v>
      </c>
      <c r="F144" s="491">
        <f>F145+F157+F173</f>
        <v>19833.699999999997</v>
      </c>
      <c r="G144" s="491">
        <f>G145+G157+G173</f>
        <v>0.05</v>
      </c>
      <c r="H144" s="491">
        <f>H145+H157+H173</f>
        <v>19833.749999999996</v>
      </c>
      <c r="I144" s="232">
        <f>I145+I157+I173</f>
        <v>16559.400000000001</v>
      </c>
      <c r="J144" s="232"/>
      <c r="K144" s="232">
        <f>K145+K157+K173</f>
        <v>16559.400000000001</v>
      </c>
      <c r="L144" s="232">
        <f>L145+L157+L173</f>
        <v>16425.600000000002</v>
      </c>
      <c r="M144" s="232"/>
      <c r="N144" s="232">
        <f>N145+N157+N173</f>
        <v>16425.600000000002</v>
      </c>
    </row>
    <row r="145" spans="1:14" ht="25.5" x14ac:dyDescent="0.25">
      <c r="A145" s="229"/>
      <c r="B145" s="7" t="s">
        <v>842</v>
      </c>
      <c r="C145" s="230"/>
      <c r="D145" s="7"/>
      <c r="E145" s="233" t="s">
        <v>843</v>
      </c>
      <c r="F145" s="491">
        <f t="shared" ref="F145:N147" si="26">F146</f>
        <v>14960.4</v>
      </c>
      <c r="G145" s="491">
        <f t="shared" si="26"/>
        <v>0.05</v>
      </c>
      <c r="H145" s="491">
        <f t="shared" si="26"/>
        <v>14960.449999999999</v>
      </c>
      <c r="I145" s="232">
        <f t="shared" si="26"/>
        <v>15007.300000000001</v>
      </c>
      <c r="J145" s="232"/>
      <c r="K145" s="232">
        <f t="shared" si="26"/>
        <v>15007.300000000001</v>
      </c>
      <c r="L145" s="232">
        <f t="shared" si="26"/>
        <v>15007.300000000001</v>
      </c>
      <c r="M145" s="232"/>
      <c r="N145" s="232">
        <f t="shared" si="26"/>
        <v>15007.300000000001</v>
      </c>
    </row>
    <row r="146" spans="1:14" ht="25.5" x14ac:dyDescent="0.25">
      <c r="A146" s="229"/>
      <c r="B146" s="7"/>
      <c r="C146" s="230" t="s">
        <v>9</v>
      </c>
      <c r="D146" s="229"/>
      <c r="E146" s="233" t="s">
        <v>10</v>
      </c>
      <c r="F146" s="491">
        <f t="shared" si="26"/>
        <v>14960.4</v>
      </c>
      <c r="G146" s="491">
        <f t="shared" si="26"/>
        <v>0.05</v>
      </c>
      <c r="H146" s="491">
        <f t="shared" si="26"/>
        <v>14960.449999999999</v>
      </c>
      <c r="I146" s="232">
        <f t="shared" si="26"/>
        <v>15007.300000000001</v>
      </c>
      <c r="J146" s="232"/>
      <c r="K146" s="232">
        <f t="shared" si="26"/>
        <v>15007.300000000001</v>
      </c>
      <c r="L146" s="232">
        <f t="shared" si="26"/>
        <v>15007.300000000001</v>
      </c>
      <c r="M146" s="232"/>
      <c r="N146" s="232">
        <f t="shared" si="26"/>
        <v>15007.300000000001</v>
      </c>
    </row>
    <row r="147" spans="1:14" ht="51" x14ac:dyDescent="0.25">
      <c r="A147" s="234"/>
      <c r="B147" s="235"/>
      <c r="C147" s="236" t="s">
        <v>336</v>
      </c>
      <c r="D147" s="235"/>
      <c r="E147" s="237" t="s">
        <v>844</v>
      </c>
      <c r="F147" s="492">
        <f t="shared" si="26"/>
        <v>14960.4</v>
      </c>
      <c r="G147" s="492">
        <f t="shared" si="26"/>
        <v>0.05</v>
      </c>
      <c r="H147" s="492">
        <f t="shared" si="26"/>
        <v>14960.449999999999</v>
      </c>
      <c r="I147" s="238">
        <f t="shared" si="26"/>
        <v>15007.300000000001</v>
      </c>
      <c r="J147" s="238"/>
      <c r="K147" s="238">
        <f t="shared" si="26"/>
        <v>15007.300000000001</v>
      </c>
      <c r="L147" s="238">
        <f t="shared" si="26"/>
        <v>15007.300000000001</v>
      </c>
      <c r="M147" s="238"/>
      <c r="N147" s="238">
        <f t="shared" si="26"/>
        <v>15007.300000000001</v>
      </c>
    </row>
    <row r="148" spans="1:14" ht="38.25" x14ac:dyDescent="0.25">
      <c r="A148" s="244"/>
      <c r="B148" s="34"/>
      <c r="C148" s="245" t="s">
        <v>338</v>
      </c>
      <c r="D148" s="34"/>
      <c r="E148" s="253" t="s">
        <v>339</v>
      </c>
      <c r="F148" s="494">
        <f>F149+F151+F153</f>
        <v>14960.4</v>
      </c>
      <c r="G148" s="494">
        <f>G149+G151+G153</f>
        <v>0.05</v>
      </c>
      <c r="H148" s="494">
        <f>H149+H151+H153</f>
        <v>14960.449999999999</v>
      </c>
      <c r="I148" s="247">
        <f>I149+I151+I153</f>
        <v>15007.300000000001</v>
      </c>
      <c r="J148" s="247"/>
      <c r="K148" s="247">
        <f>K149+K151+K153</f>
        <v>15007.300000000001</v>
      </c>
      <c r="L148" s="247">
        <f>L149+L151+L153</f>
        <v>15007.300000000001</v>
      </c>
      <c r="M148" s="247"/>
      <c r="N148" s="247">
        <f>N149+N151+N153</f>
        <v>15007.300000000001</v>
      </c>
    </row>
    <row r="149" spans="1:14" x14ac:dyDescent="0.25">
      <c r="A149" s="229"/>
      <c r="B149" s="7"/>
      <c r="C149" s="248" t="s">
        <v>340</v>
      </c>
      <c r="D149" s="27"/>
      <c r="E149" s="28" t="s">
        <v>457</v>
      </c>
      <c r="F149" s="472">
        <f>F150</f>
        <v>5.7</v>
      </c>
      <c r="G149" s="472">
        <f>G150</f>
        <v>0.05</v>
      </c>
      <c r="H149" s="472">
        <f>H150</f>
        <v>5.75</v>
      </c>
      <c r="I149" s="29">
        <f>I150</f>
        <v>25</v>
      </c>
      <c r="J149" s="29"/>
      <c r="K149" s="29">
        <f>K150</f>
        <v>25</v>
      </c>
      <c r="L149" s="29">
        <f>L150</f>
        <v>25</v>
      </c>
      <c r="M149" s="29"/>
      <c r="N149" s="29">
        <f>N150</f>
        <v>25</v>
      </c>
    </row>
    <row r="150" spans="1:14" ht="25.5" x14ac:dyDescent="0.25">
      <c r="A150" s="225"/>
      <c r="B150" s="27"/>
      <c r="C150" s="248"/>
      <c r="D150" s="27" t="s">
        <v>17</v>
      </c>
      <c r="E150" s="28" t="s">
        <v>18</v>
      </c>
      <c r="F150" s="472">
        <v>5.7</v>
      </c>
      <c r="G150" s="472">
        <v>0.05</v>
      </c>
      <c r="H150" s="472">
        <f>SUM(F150:G150)</f>
        <v>5.75</v>
      </c>
      <c r="I150" s="29">
        <v>25</v>
      </c>
      <c r="J150" s="29"/>
      <c r="K150" s="29">
        <v>25</v>
      </c>
      <c r="L150" s="29">
        <v>25</v>
      </c>
      <c r="M150" s="29"/>
      <c r="N150" s="29">
        <v>25</v>
      </c>
    </row>
    <row r="151" spans="1:14" ht="38.25" x14ac:dyDescent="0.25">
      <c r="A151" s="225"/>
      <c r="B151" s="27"/>
      <c r="C151" s="248" t="s">
        <v>341</v>
      </c>
      <c r="D151" s="27"/>
      <c r="E151" s="28" t="s">
        <v>440</v>
      </c>
      <c r="F151" s="472">
        <f>F152</f>
        <v>104.9</v>
      </c>
      <c r="G151" s="472">
        <f>G152</f>
        <v>0</v>
      </c>
      <c r="H151" s="472">
        <f>H152</f>
        <v>104.9</v>
      </c>
      <c r="I151" s="29">
        <f>I152</f>
        <v>70.2</v>
      </c>
      <c r="J151" s="29"/>
      <c r="K151" s="29">
        <f>K152</f>
        <v>70.2</v>
      </c>
      <c r="L151" s="29">
        <f>L152</f>
        <v>70.2</v>
      </c>
      <c r="M151" s="29"/>
      <c r="N151" s="29">
        <f>N152</f>
        <v>70.2</v>
      </c>
    </row>
    <row r="152" spans="1:14" ht="25.5" x14ac:dyDescent="0.25">
      <c r="A152" s="225"/>
      <c r="B152" s="27"/>
      <c r="C152" s="248"/>
      <c r="D152" s="27" t="s">
        <v>17</v>
      </c>
      <c r="E152" s="28" t="s">
        <v>18</v>
      </c>
      <c r="F152" s="472">
        <v>104.9</v>
      </c>
      <c r="G152" s="472"/>
      <c r="H152" s="472">
        <f>SUM(F152:G152)</f>
        <v>104.9</v>
      </c>
      <c r="I152" s="29">
        <v>70.2</v>
      </c>
      <c r="J152" s="29"/>
      <c r="K152" s="29">
        <v>70.2</v>
      </c>
      <c r="L152" s="29">
        <v>70.2</v>
      </c>
      <c r="M152" s="29"/>
      <c r="N152" s="29">
        <v>70.2</v>
      </c>
    </row>
    <row r="153" spans="1:14" ht="25.5" x14ac:dyDescent="0.25">
      <c r="A153" s="225"/>
      <c r="B153" s="27"/>
      <c r="C153" s="248" t="s">
        <v>342</v>
      </c>
      <c r="D153" s="27"/>
      <c r="E153" s="264" t="s">
        <v>845</v>
      </c>
      <c r="F153" s="472">
        <f>F154+F155+F156</f>
        <v>14849.8</v>
      </c>
      <c r="G153" s="472">
        <f>G154+G155+G156</f>
        <v>0</v>
      </c>
      <c r="H153" s="472">
        <f>H154+H155+H156</f>
        <v>14849.8</v>
      </c>
      <c r="I153" s="29">
        <f>I154+I155+I156</f>
        <v>14912.1</v>
      </c>
      <c r="J153" s="29"/>
      <c r="K153" s="29">
        <f>K154+K155+K156</f>
        <v>14912.1</v>
      </c>
      <c r="L153" s="29">
        <f>L154+L155+L156</f>
        <v>14912.1</v>
      </c>
      <c r="M153" s="29"/>
      <c r="N153" s="29">
        <f>N154+N155+N156</f>
        <v>14912.1</v>
      </c>
    </row>
    <row r="154" spans="1:14" ht="39" x14ac:dyDescent="0.25">
      <c r="A154" s="229"/>
      <c r="B154" s="7"/>
      <c r="C154" s="248"/>
      <c r="D154" s="27" t="s">
        <v>30</v>
      </c>
      <c r="E154" s="26" t="s">
        <v>450</v>
      </c>
      <c r="F154" s="469">
        <v>13401.8</v>
      </c>
      <c r="G154" s="469"/>
      <c r="H154" s="469">
        <f>SUM(F154:G154)</f>
        <v>13401.8</v>
      </c>
      <c r="I154" s="160">
        <v>13464.1</v>
      </c>
      <c r="J154" s="160"/>
      <c r="K154" s="160">
        <v>13464.1</v>
      </c>
      <c r="L154" s="160">
        <v>13464.1</v>
      </c>
      <c r="M154" s="160"/>
      <c r="N154" s="160">
        <v>13464.1</v>
      </c>
    </row>
    <row r="155" spans="1:14" ht="25.5" x14ac:dyDescent="0.25">
      <c r="A155" s="225"/>
      <c r="B155" s="27"/>
      <c r="C155" s="248"/>
      <c r="D155" s="27" t="s">
        <v>17</v>
      </c>
      <c r="E155" s="28" t="s">
        <v>18</v>
      </c>
      <c r="F155" s="499">
        <v>1448</v>
      </c>
      <c r="G155" s="499"/>
      <c r="H155" s="499">
        <v>1448</v>
      </c>
      <c r="I155" s="48">
        <v>1448</v>
      </c>
      <c r="J155" s="48"/>
      <c r="K155" s="48">
        <v>1448</v>
      </c>
      <c r="L155" s="48">
        <v>1448</v>
      </c>
      <c r="M155" s="48"/>
      <c r="N155" s="48">
        <v>1448</v>
      </c>
    </row>
    <row r="156" spans="1:14" x14ac:dyDescent="0.25">
      <c r="A156" s="225"/>
      <c r="B156" s="27"/>
      <c r="C156" s="248"/>
      <c r="D156" s="27" t="s">
        <v>32</v>
      </c>
      <c r="E156" s="28" t="s">
        <v>33</v>
      </c>
      <c r="F156" s="472">
        <v>0</v>
      </c>
      <c r="G156" s="472"/>
      <c r="H156" s="472">
        <v>0</v>
      </c>
      <c r="I156" s="29">
        <v>0</v>
      </c>
      <c r="J156" s="29"/>
      <c r="K156" s="29">
        <v>0</v>
      </c>
      <c r="L156" s="29">
        <v>0</v>
      </c>
      <c r="M156" s="29"/>
      <c r="N156" s="29">
        <v>0</v>
      </c>
    </row>
    <row r="157" spans="1:14" x14ac:dyDescent="0.25">
      <c r="A157" s="229"/>
      <c r="B157" s="7" t="s">
        <v>846</v>
      </c>
      <c r="C157" s="230"/>
      <c r="D157" s="7"/>
      <c r="E157" s="231" t="s">
        <v>847</v>
      </c>
      <c r="F157" s="491">
        <f t="shared" ref="F157:N159" si="27">F158</f>
        <v>3922.7</v>
      </c>
      <c r="G157" s="491">
        <f t="shared" si="27"/>
        <v>0</v>
      </c>
      <c r="H157" s="491">
        <f t="shared" si="27"/>
        <v>3922.7</v>
      </c>
      <c r="I157" s="232">
        <f t="shared" si="27"/>
        <v>1099.2</v>
      </c>
      <c r="J157" s="232"/>
      <c r="K157" s="232">
        <f t="shared" si="27"/>
        <v>1099.2</v>
      </c>
      <c r="L157" s="232">
        <f t="shared" si="27"/>
        <v>914.5</v>
      </c>
      <c r="M157" s="232"/>
      <c r="N157" s="232">
        <f t="shared" si="27"/>
        <v>914.5</v>
      </c>
    </row>
    <row r="158" spans="1:14" x14ac:dyDescent="0.25">
      <c r="A158" s="225"/>
      <c r="B158" s="27"/>
      <c r="C158" s="230" t="s">
        <v>9</v>
      </c>
      <c r="D158" s="229"/>
      <c r="E158" s="233" t="s">
        <v>848</v>
      </c>
      <c r="F158" s="472">
        <f t="shared" si="27"/>
        <v>3922.7</v>
      </c>
      <c r="G158" s="472">
        <f t="shared" si="27"/>
        <v>0</v>
      </c>
      <c r="H158" s="472">
        <f t="shared" si="27"/>
        <v>3922.7</v>
      </c>
      <c r="I158" s="29">
        <f t="shared" si="27"/>
        <v>1099.2</v>
      </c>
      <c r="J158" s="29"/>
      <c r="K158" s="29">
        <f t="shared" si="27"/>
        <v>1099.2</v>
      </c>
      <c r="L158" s="29">
        <f t="shared" si="27"/>
        <v>914.5</v>
      </c>
      <c r="M158" s="29"/>
      <c r="N158" s="29">
        <f t="shared" si="27"/>
        <v>914.5</v>
      </c>
    </row>
    <row r="159" spans="1:14" ht="51" x14ac:dyDescent="0.25">
      <c r="A159" s="234"/>
      <c r="B159" s="235"/>
      <c r="C159" s="236" t="s">
        <v>336</v>
      </c>
      <c r="D159" s="235"/>
      <c r="E159" s="237" t="s">
        <v>337</v>
      </c>
      <c r="F159" s="492">
        <f t="shared" si="27"/>
        <v>3922.7</v>
      </c>
      <c r="G159" s="492">
        <f t="shared" si="27"/>
        <v>0</v>
      </c>
      <c r="H159" s="492">
        <f t="shared" si="27"/>
        <v>3922.7</v>
      </c>
      <c r="I159" s="238">
        <f t="shared" si="27"/>
        <v>1099.2</v>
      </c>
      <c r="J159" s="238"/>
      <c r="K159" s="238">
        <f t="shared" si="27"/>
        <v>1099.2</v>
      </c>
      <c r="L159" s="238">
        <f t="shared" si="27"/>
        <v>914.5</v>
      </c>
      <c r="M159" s="238"/>
      <c r="N159" s="238">
        <f t="shared" si="27"/>
        <v>914.5</v>
      </c>
    </row>
    <row r="160" spans="1:14" ht="25.5" x14ac:dyDescent="0.25">
      <c r="A160" s="254"/>
      <c r="B160" s="255"/>
      <c r="C160" s="265" t="s">
        <v>343</v>
      </c>
      <c r="D160" s="255"/>
      <c r="E160" s="253" t="s">
        <v>849</v>
      </c>
      <c r="F160" s="494">
        <f>F161+F163+F166+F170+F168</f>
        <v>3922.7</v>
      </c>
      <c r="G160" s="494">
        <f>G161+G163+G166+G170+G168</f>
        <v>0</v>
      </c>
      <c r="H160" s="494">
        <f>H161+H163+H166+H170+H168</f>
        <v>3922.7</v>
      </c>
      <c r="I160" s="247">
        <f>I161+I163+I166+I170+I168</f>
        <v>1099.2</v>
      </c>
      <c r="J160" s="247"/>
      <c r="K160" s="247">
        <f>K161+K163+K166+K170+K168</f>
        <v>1099.2</v>
      </c>
      <c r="L160" s="247">
        <f>L161+L163+L166+L170+L168</f>
        <v>914.5</v>
      </c>
      <c r="M160" s="247"/>
      <c r="N160" s="247">
        <f>N161+N163+N166+N170+N168</f>
        <v>914.5</v>
      </c>
    </row>
    <row r="161" spans="1:14" ht="25.5" x14ac:dyDescent="0.25">
      <c r="A161" s="225"/>
      <c r="B161" s="27"/>
      <c r="C161" s="248" t="s">
        <v>345</v>
      </c>
      <c r="D161" s="27"/>
      <c r="E161" s="30" t="s">
        <v>346</v>
      </c>
      <c r="F161" s="472">
        <f>F162</f>
        <v>79.8</v>
      </c>
      <c r="G161" s="472">
        <f>G162</f>
        <v>0</v>
      </c>
      <c r="H161" s="472">
        <f>H162</f>
        <v>79.8</v>
      </c>
      <c r="I161" s="29">
        <f>I162</f>
        <v>373.6</v>
      </c>
      <c r="J161" s="29"/>
      <c r="K161" s="29">
        <f>K162</f>
        <v>373.6</v>
      </c>
      <c r="L161" s="29">
        <f>L162</f>
        <v>197.5</v>
      </c>
      <c r="M161" s="29"/>
      <c r="N161" s="29">
        <f>N162</f>
        <v>197.5</v>
      </c>
    </row>
    <row r="162" spans="1:14" ht="25.5" x14ac:dyDescent="0.25">
      <c r="A162" s="225"/>
      <c r="B162" s="27"/>
      <c r="C162" s="248"/>
      <c r="D162" s="27" t="s">
        <v>17</v>
      </c>
      <c r="E162" s="28" t="s">
        <v>18</v>
      </c>
      <c r="F162" s="472">
        <v>79.8</v>
      </c>
      <c r="G162" s="472"/>
      <c r="H162" s="472">
        <f>SUM(F162:G162)</f>
        <v>79.8</v>
      </c>
      <c r="I162" s="29">
        <v>373.6</v>
      </c>
      <c r="J162" s="29"/>
      <c r="K162" s="29">
        <v>373.6</v>
      </c>
      <c r="L162" s="29">
        <v>197.5</v>
      </c>
      <c r="M162" s="29"/>
      <c r="N162" s="29">
        <v>197.5</v>
      </c>
    </row>
    <row r="163" spans="1:14" ht="25.5" x14ac:dyDescent="0.25">
      <c r="A163" s="225"/>
      <c r="B163" s="27"/>
      <c r="C163" s="248" t="s">
        <v>347</v>
      </c>
      <c r="D163" s="27"/>
      <c r="E163" s="28" t="s">
        <v>850</v>
      </c>
      <c r="F163" s="472">
        <f>F164+F165</f>
        <v>1225.3</v>
      </c>
      <c r="G163" s="472">
        <f>G164+G165</f>
        <v>0</v>
      </c>
      <c r="H163" s="472">
        <f>H164+H165</f>
        <v>1225.3</v>
      </c>
      <c r="I163" s="8">
        <f>I164</f>
        <v>100.8</v>
      </c>
      <c r="J163" s="8"/>
      <c r="K163" s="8">
        <f>K164</f>
        <v>100.8</v>
      </c>
      <c r="L163" s="8">
        <f>L164</f>
        <v>300.8</v>
      </c>
      <c r="M163" s="8"/>
      <c r="N163" s="8">
        <f>N164</f>
        <v>300.8</v>
      </c>
    </row>
    <row r="164" spans="1:14" ht="25.5" x14ac:dyDescent="0.25">
      <c r="A164" s="225"/>
      <c r="B164" s="27"/>
      <c r="C164" s="248"/>
      <c r="D164" s="27" t="s">
        <v>17</v>
      </c>
      <c r="E164" s="28" t="s">
        <v>18</v>
      </c>
      <c r="F164" s="472">
        <v>1155.3</v>
      </c>
      <c r="G164" s="472"/>
      <c r="H164" s="472">
        <f>SUM(F164:G164)</f>
        <v>1155.3</v>
      </c>
      <c r="I164" s="29">
        <v>100.8</v>
      </c>
      <c r="J164" s="29"/>
      <c r="K164" s="29">
        <v>100.8</v>
      </c>
      <c r="L164" s="29">
        <v>300.8</v>
      </c>
      <c r="M164" s="29"/>
      <c r="N164" s="29">
        <v>300.8</v>
      </c>
    </row>
    <row r="165" spans="1:14" x14ac:dyDescent="0.25">
      <c r="A165" s="225"/>
      <c r="B165" s="27"/>
      <c r="C165" s="248"/>
      <c r="D165" s="157" t="s">
        <v>32</v>
      </c>
      <c r="E165" s="159" t="s">
        <v>33</v>
      </c>
      <c r="F165" s="472">
        <v>70</v>
      </c>
      <c r="G165" s="472"/>
      <c r="H165" s="472">
        <v>70</v>
      </c>
      <c r="I165" s="29"/>
      <c r="J165" s="29"/>
      <c r="K165" s="29">
        <v>0</v>
      </c>
      <c r="L165" s="29"/>
      <c r="M165" s="29"/>
      <c r="N165" s="29">
        <v>0</v>
      </c>
    </row>
    <row r="166" spans="1:14" ht="25.5" x14ac:dyDescent="0.25">
      <c r="A166" s="225"/>
      <c r="B166" s="27"/>
      <c r="C166" s="248" t="s">
        <v>349</v>
      </c>
      <c r="D166" s="27"/>
      <c r="E166" s="264" t="s">
        <v>350</v>
      </c>
      <c r="F166" s="472">
        <f>F167</f>
        <v>0</v>
      </c>
      <c r="G166" s="472"/>
      <c r="H166" s="472">
        <f>H167</f>
        <v>0</v>
      </c>
      <c r="I166" s="29">
        <f>I167</f>
        <v>0</v>
      </c>
      <c r="J166" s="29"/>
      <c r="K166" s="29">
        <f>K167</f>
        <v>0</v>
      </c>
      <c r="L166" s="29">
        <f>L167</f>
        <v>0</v>
      </c>
      <c r="M166" s="29"/>
      <c r="N166" s="29">
        <f>N167</f>
        <v>0</v>
      </c>
    </row>
    <row r="167" spans="1:14" ht="25.5" x14ac:dyDescent="0.25">
      <c r="A167" s="225"/>
      <c r="B167" s="27"/>
      <c r="C167" s="248"/>
      <c r="D167" s="27" t="s">
        <v>17</v>
      </c>
      <c r="E167" s="28" t="s">
        <v>18</v>
      </c>
      <c r="F167" s="472">
        <v>0</v>
      </c>
      <c r="G167" s="472"/>
      <c r="H167" s="472">
        <v>0</v>
      </c>
      <c r="I167" s="29">
        <v>0</v>
      </c>
      <c r="J167" s="29"/>
      <c r="K167" s="29">
        <v>0</v>
      </c>
      <c r="L167" s="29">
        <v>0</v>
      </c>
      <c r="M167" s="29"/>
      <c r="N167" s="29">
        <v>0</v>
      </c>
    </row>
    <row r="168" spans="1:14" ht="25.5" x14ac:dyDescent="0.25">
      <c r="A168" s="225"/>
      <c r="B168" s="27"/>
      <c r="C168" s="248" t="s">
        <v>351</v>
      </c>
      <c r="D168" s="27"/>
      <c r="E168" s="28" t="s">
        <v>352</v>
      </c>
      <c r="F168" s="472">
        <f>F169</f>
        <v>2155.1999999999998</v>
      </c>
      <c r="G168" s="472">
        <f>G169</f>
        <v>0</v>
      </c>
      <c r="H168" s="472">
        <f>H169</f>
        <v>2155.1999999999998</v>
      </c>
      <c r="I168" s="29">
        <f>I169</f>
        <v>0</v>
      </c>
      <c r="J168" s="29"/>
      <c r="K168" s="29">
        <f>K169</f>
        <v>0</v>
      </c>
      <c r="L168" s="29">
        <f>L169</f>
        <v>0</v>
      </c>
      <c r="M168" s="29"/>
      <c r="N168" s="29">
        <f>N169</f>
        <v>0</v>
      </c>
    </row>
    <row r="169" spans="1:14" ht="25.5" x14ac:dyDescent="0.25">
      <c r="A169" s="225"/>
      <c r="B169" s="27"/>
      <c r="C169" s="248"/>
      <c r="D169" s="27" t="s">
        <v>17</v>
      </c>
      <c r="E169" s="28" t="s">
        <v>18</v>
      </c>
      <c r="F169" s="472">
        <v>2155.1999999999998</v>
      </c>
      <c r="G169" s="472"/>
      <c r="H169" s="472">
        <f>SUM(F169:G169)</f>
        <v>2155.1999999999998</v>
      </c>
      <c r="I169" s="29">
        <v>0</v>
      </c>
      <c r="J169" s="29"/>
      <c r="K169" s="29">
        <v>0</v>
      </c>
      <c r="L169" s="29">
        <v>0</v>
      </c>
      <c r="M169" s="29"/>
      <c r="N169" s="29">
        <v>0</v>
      </c>
    </row>
    <row r="170" spans="1:14" x14ac:dyDescent="0.25">
      <c r="A170" s="225"/>
      <c r="B170" s="27"/>
      <c r="C170" s="248" t="s">
        <v>353</v>
      </c>
      <c r="D170" s="27"/>
      <c r="E170" s="264" t="s">
        <v>354</v>
      </c>
      <c r="F170" s="472">
        <f>F171+F172</f>
        <v>462.4</v>
      </c>
      <c r="G170" s="472">
        <f>G171+G172</f>
        <v>0</v>
      </c>
      <c r="H170" s="472">
        <f>H171+H172</f>
        <v>462.4</v>
      </c>
      <c r="I170" s="29">
        <f>I171+I172</f>
        <v>624.79999999999995</v>
      </c>
      <c r="J170" s="29"/>
      <c r="K170" s="29">
        <f>K171+K172</f>
        <v>624.79999999999995</v>
      </c>
      <c r="L170" s="29">
        <f>L171+L172</f>
        <v>416.2</v>
      </c>
      <c r="M170" s="29"/>
      <c r="N170" s="29">
        <f>N171+N172</f>
        <v>416.2</v>
      </c>
    </row>
    <row r="171" spans="1:14" ht="39" x14ac:dyDescent="0.25">
      <c r="A171" s="225"/>
      <c r="B171" s="27"/>
      <c r="C171" s="248"/>
      <c r="D171" s="27" t="s">
        <v>30</v>
      </c>
      <c r="E171" s="26" t="s">
        <v>450</v>
      </c>
      <c r="F171" s="472">
        <v>462.4</v>
      </c>
      <c r="G171" s="472"/>
      <c r="H171" s="472">
        <f>SUM(F171:G171)</f>
        <v>462.4</v>
      </c>
      <c r="I171" s="29">
        <v>491</v>
      </c>
      <c r="J171" s="29"/>
      <c r="K171" s="29">
        <v>491</v>
      </c>
      <c r="L171" s="29">
        <v>416.2</v>
      </c>
      <c r="M171" s="29"/>
      <c r="N171" s="29">
        <v>416.2</v>
      </c>
    </row>
    <row r="172" spans="1:14" ht="25.5" x14ac:dyDescent="0.25">
      <c r="A172" s="225"/>
      <c r="B172" s="27"/>
      <c r="C172" s="248"/>
      <c r="D172" s="27" t="s">
        <v>17</v>
      </c>
      <c r="E172" s="28" t="s">
        <v>18</v>
      </c>
      <c r="F172" s="472">
        <v>0</v>
      </c>
      <c r="G172" s="472">
        <v>0</v>
      </c>
      <c r="H172" s="472">
        <f>SUM(F172:G172)</f>
        <v>0</v>
      </c>
      <c r="I172" s="29">
        <v>133.80000000000001</v>
      </c>
      <c r="J172" s="29"/>
      <c r="K172" s="29">
        <v>133.80000000000001</v>
      </c>
      <c r="L172" s="29">
        <v>0</v>
      </c>
      <c r="M172" s="29"/>
      <c r="N172" s="29">
        <v>0</v>
      </c>
    </row>
    <row r="173" spans="1:14" ht="25.5" x14ac:dyDescent="0.25">
      <c r="A173" s="229"/>
      <c r="B173" s="7" t="s">
        <v>851</v>
      </c>
      <c r="C173" s="230"/>
      <c r="D173" s="7"/>
      <c r="E173" s="233" t="s">
        <v>852</v>
      </c>
      <c r="F173" s="491">
        <f>F174</f>
        <v>950.6</v>
      </c>
      <c r="G173" s="491">
        <f>G174</f>
        <v>0</v>
      </c>
      <c r="H173" s="491">
        <f>H174</f>
        <v>950.6</v>
      </c>
      <c r="I173" s="232">
        <f>I174</f>
        <v>452.9</v>
      </c>
      <c r="J173" s="232"/>
      <c r="K173" s="232">
        <f>K174</f>
        <v>452.9</v>
      </c>
      <c r="L173" s="232">
        <f>L174</f>
        <v>503.79999999999995</v>
      </c>
      <c r="M173" s="232"/>
      <c r="N173" s="232">
        <f>N174</f>
        <v>503.79999999999995</v>
      </c>
    </row>
    <row r="174" spans="1:14" ht="25.5" x14ac:dyDescent="0.25">
      <c r="A174" s="229"/>
      <c r="B174" s="7"/>
      <c r="C174" s="230" t="s">
        <v>9</v>
      </c>
      <c r="D174" s="229"/>
      <c r="E174" s="233" t="s">
        <v>10</v>
      </c>
      <c r="F174" s="472">
        <f>F175+F198</f>
        <v>950.6</v>
      </c>
      <c r="G174" s="472">
        <f>G175+G198</f>
        <v>0</v>
      </c>
      <c r="H174" s="472">
        <f>H175+H198</f>
        <v>950.6</v>
      </c>
      <c r="I174" s="29">
        <f>I175+I198</f>
        <v>452.9</v>
      </c>
      <c r="J174" s="29"/>
      <c r="K174" s="29">
        <f>K175+K198</f>
        <v>452.9</v>
      </c>
      <c r="L174" s="29">
        <f>L175+L198</f>
        <v>503.79999999999995</v>
      </c>
      <c r="M174" s="29"/>
      <c r="N174" s="29">
        <f>N175+N198</f>
        <v>503.79999999999995</v>
      </c>
    </row>
    <row r="175" spans="1:14" ht="26.25" x14ac:dyDescent="0.25">
      <c r="A175" s="234"/>
      <c r="B175" s="235"/>
      <c r="C175" s="236" t="s">
        <v>247</v>
      </c>
      <c r="D175" s="235"/>
      <c r="E175" s="5" t="s">
        <v>473</v>
      </c>
      <c r="F175" s="492">
        <f>F176+F184</f>
        <v>935.7</v>
      </c>
      <c r="G175" s="492">
        <f>G176+G184</f>
        <v>0</v>
      </c>
      <c r="H175" s="492">
        <f>H176+H184</f>
        <v>935.7</v>
      </c>
      <c r="I175" s="238">
        <f>I176+I184</f>
        <v>432.9</v>
      </c>
      <c r="J175" s="238"/>
      <c r="K175" s="238">
        <f>K176+K184</f>
        <v>432.9</v>
      </c>
      <c r="L175" s="238">
        <f>L176+L184</f>
        <v>432.9</v>
      </c>
      <c r="M175" s="238"/>
      <c r="N175" s="238">
        <f>N176+N184</f>
        <v>432.9</v>
      </c>
    </row>
    <row r="176" spans="1:14" ht="25.5" x14ac:dyDescent="0.25">
      <c r="A176" s="294"/>
      <c r="B176" s="287"/>
      <c r="C176" s="288" t="s">
        <v>248</v>
      </c>
      <c r="D176" s="287"/>
      <c r="E176" s="295" t="s">
        <v>853</v>
      </c>
      <c r="F176" s="493">
        <f>F177</f>
        <v>508.8</v>
      </c>
      <c r="G176" s="493">
        <f>G177</f>
        <v>0</v>
      </c>
      <c r="H176" s="493">
        <f>H177</f>
        <v>508.8</v>
      </c>
      <c r="I176" s="290">
        <f>I177</f>
        <v>6</v>
      </c>
      <c r="J176" s="290"/>
      <c r="K176" s="290">
        <f t="shared" ref="K176:L178" si="28">K177</f>
        <v>6</v>
      </c>
      <c r="L176" s="290">
        <f t="shared" si="28"/>
        <v>6</v>
      </c>
      <c r="M176" s="290"/>
      <c r="N176" s="290">
        <f>N177</f>
        <v>6</v>
      </c>
    </row>
    <row r="177" spans="1:14" ht="36.75" customHeight="1" x14ac:dyDescent="0.25">
      <c r="A177" s="244"/>
      <c r="B177" s="34"/>
      <c r="C177" s="245" t="s">
        <v>249</v>
      </c>
      <c r="D177" s="255"/>
      <c r="E177" s="272" t="s">
        <v>480</v>
      </c>
      <c r="F177" s="494">
        <f>F178+F180+F182</f>
        <v>508.8</v>
      </c>
      <c r="G177" s="494">
        <f>G178+G180+G182</f>
        <v>0</v>
      </c>
      <c r="H177" s="494">
        <f>H178+H180+H182</f>
        <v>508.8</v>
      </c>
      <c r="I177" s="247">
        <f>I178</f>
        <v>6</v>
      </c>
      <c r="J177" s="247"/>
      <c r="K177" s="247">
        <f t="shared" si="28"/>
        <v>6</v>
      </c>
      <c r="L177" s="247">
        <f t="shared" si="28"/>
        <v>6</v>
      </c>
      <c r="M177" s="247"/>
      <c r="N177" s="247">
        <f>N178</f>
        <v>6</v>
      </c>
    </row>
    <row r="178" spans="1:14" ht="38.25" x14ac:dyDescent="0.25">
      <c r="A178" s="229"/>
      <c r="B178" s="7"/>
      <c r="C178" s="248" t="s">
        <v>251</v>
      </c>
      <c r="D178" s="27"/>
      <c r="E178" s="28" t="s">
        <v>1110</v>
      </c>
      <c r="F178" s="472">
        <f>F179</f>
        <v>6</v>
      </c>
      <c r="G178" s="472"/>
      <c r="H178" s="472">
        <f>H179</f>
        <v>6</v>
      </c>
      <c r="I178" s="29">
        <f>I179</f>
        <v>6</v>
      </c>
      <c r="J178" s="29"/>
      <c r="K178" s="29">
        <f t="shared" si="28"/>
        <v>6</v>
      </c>
      <c r="L178" s="29">
        <f t="shared" si="28"/>
        <v>6</v>
      </c>
      <c r="M178" s="29"/>
      <c r="N178" s="29">
        <f>N179</f>
        <v>6</v>
      </c>
    </row>
    <row r="179" spans="1:14" ht="25.5" x14ac:dyDescent="0.25">
      <c r="A179" s="229"/>
      <c r="B179" s="7"/>
      <c r="C179" s="230"/>
      <c r="D179" s="27" t="s">
        <v>17</v>
      </c>
      <c r="E179" s="28" t="s">
        <v>18</v>
      </c>
      <c r="F179" s="472">
        <v>6</v>
      </c>
      <c r="G179" s="472"/>
      <c r="H179" s="472">
        <v>6</v>
      </c>
      <c r="I179" s="29">
        <v>6</v>
      </c>
      <c r="J179" s="29"/>
      <c r="K179" s="29">
        <v>6</v>
      </c>
      <c r="L179" s="29">
        <v>6</v>
      </c>
      <c r="M179" s="29"/>
      <c r="N179" s="29">
        <v>6</v>
      </c>
    </row>
    <row r="180" spans="1:14" ht="51.75" x14ac:dyDescent="0.25">
      <c r="A180" s="229"/>
      <c r="B180" s="7"/>
      <c r="C180" s="248" t="s">
        <v>482</v>
      </c>
      <c r="D180" s="27"/>
      <c r="E180" s="26" t="s">
        <v>479</v>
      </c>
      <c r="F180" s="472">
        <f>F181</f>
        <v>303.5</v>
      </c>
      <c r="G180" s="472">
        <f>G181</f>
        <v>0</v>
      </c>
      <c r="H180" s="472">
        <f>H181</f>
        <v>303.5</v>
      </c>
      <c r="I180" s="29">
        <v>0</v>
      </c>
      <c r="J180" s="29"/>
      <c r="K180" s="29">
        <v>0</v>
      </c>
      <c r="L180" s="29">
        <v>0</v>
      </c>
      <c r="M180" s="29"/>
      <c r="N180" s="29">
        <v>0</v>
      </c>
    </row>
    <row r="181" spans="1:14" ht="25.5" x14ac:dyDescent="0.25">
      <c r="A181" s="229"/>
      <c r="B181" s="7"/>
      <c r="C181" s="248"/>
      <c r="D181" s="27" t="s">
        <v>17</v>
      </c>
      <c r="E181" s="28" t="s">
        <v>18</v>
      </c>
      <c r="F181" s="472">
        <v>303.5</v>
      </c>
      <c r="G181" s="472"/>
      <c r="H181" s="472">
        <f>SUM(F181:G181)</f>
        <v>303.5</v>
      </c>
      <c r="I181" s="29">
        <v>0</v>
      </c>
      <c r="J181" s="29"/>
      <c r="K181" s="29">
        <v>0</v>
      </c>
      <c r="L181" s="29">
        <v>0</v>
      </c>
      <c r="M181" s="29"/>
      <c r="N181" s="29">
        <v>0</v>
      </c>
    </row>
    <row r="182" spans="1:14" ht="26.25" x14ac:dyDescent="0.25">
      <c r="A182" s="229"/>
      <c r="B182" s="7"/>
      <c r="C182" s="157" t="s">
        <v>1131</v>
      </c>
      <c r="D182" s="157"/>
      <c r="E182" s="159" t="s">
        <v>1130</v>
      </c>
      <c r="F182" s="472">
        <v>199.3</v>
      </c>
      <c r="G182" s="472"/>
      <c r="H182" s="472">
        <v>199.3</v>
      </c>
      <c r="I182" s="29"/>
      <c r="J182" s="29"/>
      <c r="K182" s="29">
        <v>0</v>
      </c>
      <c r="L182" s="29"/>
      <c r="M182" s="29"/>
      <c r="N182" s="29">
        <v>0</v>
      </c>
    </row>
    <row r="183" spans="1:14" ht="26.25" x14ac:dyDescent="0.25">
      <c r="A183" s="229"/>
      <c r="B183" s="7"/>
      <c r="C183" s="157"/>
      <c r="D183" s="157" t="s">
        <v>17</v>
      </c>
      <c r="E183" s="159" t="s">
        <v>18</v>
      </c>
      <c r="F183" s="472">
        <v>199.3</v>
      </c>
      <c r="G183" s="472"/>
      <c r="H183" s="472">
        <v>199.3</v>
      </c>
      <c r="I183" s="29"/>
      <c r="J183" s="29"/>
      <c r="K183" s="29">
        <v>0</v>
      </c>
      <c r="L183" s="29"/>
      <c r="M183" s="29"/>
      <c r="N183" s="29">
        <v>0</v>
      </c>
    </row>
    <row r="184" spans="1:14" ht="25.5" x14ac:dyDescent="0.25">
      <c r="A184" s="294"/>
      <c r="B184" s="287"/>
      <c r="C184" s="288" t="s">
        <v>252</v>
      </c>
      <c r="D184" s="287"/>
      <c r="E184" s="295" t="s">
        <v>474</v>
      </c>
      <c r="F184" s="493">
        <f>F185</f>
        <v>426.9</v>
      </c>
      <c r="G184" s="493"/>
      <c r="H184" s="493">
        <f>H185</f>
        <v>426.9</v>
      </c>
      <c r="I184" s="290">
        <f>I185</f>
        <v>426.9</v>
      </c>
      <c r="J184" s="290"/>
      <c r="K184" s="290">
        <f>K185</f>
        <v>426.9</v>
      </c>
      <c r="L184" s="290">
        <f>L185</f>
        <v>426.9</v>
      </c>
      <c r="M184" s="290"/>
      <c r="N184" s="290">
        <f>N185</f>
        <v>426.9</v>
      </c>
    </row>
    <row r="185" spans="1:14" ht="26.25" x14ac:dyDescent="0.25">
      <c r="A185" s="254"/>
      <c r="B185" s="255"/>
      <c r="C185" s="245" t="s">
        <v>254</v>
      </c>
      <c r="D185" s="255"/>
      <c r="E185" s="272" t="s">
        <v>475</v>
      </c>
      <c r="F185" s="494">
        <f>F186+F192+F194+F196</f>
        <v>426.9</v>
      </c>
      <c r="G185" s="494"/>
      <c r="H185" s="494">
        <f>H186+H192+H194+H196</f>
        <v>426.9</v>
      </c>
      <c r="I185" s="247">
        <f>I186+I192+I194+I196</f>
        <v>426.9</v>
      </c>
      <c r="J185" s="247"/>
      <c r="K185" s="247">
        <f>K186+K192+K194+K196</f>
        <v>426.9</v>
      </c>
      <c r="L185" s="247">
        <f>L186+L192+L194+L196</f>
        <v>426.9</v>
      </c>
      <c r="M185" s="247"/>
      <c r="N185" s="247">
        <f>N186+N192+N194+N196</f>
        <v>426.9</v>
      </c>
    </row>
    <row r="186" spans="1:14" ht="38.25" x14ac:dyDescent="0.25">
      <c r="A186" s="229"/>
      <c r="B186" s="7"/>
      <c r="C186" s="248" t="s">
        <v>256</v>
      </c>
      <c r="D186" s="27"/>
      <c r="E186" s="273" t="s">
        <v>437</v>
      </c>
      <c r="F186" s="472">
        <f>F190+F187</f>
        <v>343.2</v>
      </c>
      <c r="G186" s="472"/>
      <c r="H186" s="472">
        <f>H190+H187</f>
        <v>343.2</v>
      </c>
      <c r="I186" s="29">
        <f>I190+I187</f>
        <v>343.2</v>
      </c>
      <c r="J186" s="29"/>
      <c r="K186" s="29">
        <f>K190+K187</f>
        <v>343.2</v>
      </c>
      <c r="L186" s="29">
        <f>L190+L187</f>
        <v>343.2</v>
      </c>
      <c r="M186" s="29"/>
      <c r="N186" s="29">
        <f>N190+N187</f>
        <v>343.2</v>
      </c>
    </row>
    <row r="187" spans="1:14" ht="39" x14ac:dyDescent="0.25">
      <c r="A187" s="229"/>
      <c r="B187" s="7"/>
      <c r="C187" s="248"/>
      <c r="D187" s="27" t="s">
        <v>30</v>
      </c>
      <c r="E187" s="26" t="s">
        <v>450</v>
      </c>
      <c r="F187" s="472">
        <f>SUM(F188+F189)</f>
        <v>323.2</v>
      </c>
      <c r="G187" s="472"/>
      <c r="H187" s="472">
        <f>SUM(H188+H189)</f>
        <v>323.2</v>
      </c>
      <c r="I187" s="29">
        <f>SUM(I188+I189)</f>
        <v>323.2</v>
      </c>
      <c r="J187" s="29"/>
      <c r="K187" s="29">
        <f>SUM(K188+K189)</f>
        <v>323.2</v>
      </c>
      <c r="L187" s="29">
        <f>SUM(L188+L189)</f>
        <v>323.2</v>
      </c>
      <c r="M187" s="29"/>
      <c r="N187" s="29">
        <f>SUM(N188+N189)</f>
        <v>323.2</v>
      </c>
    </row>
    <row r="188" spans="1:14" x14ac:dyDescent="0.25">
      <c r="A188" s="229"/>
      <c r="B188" s="7"/>
      <c r="C188" s="248"/>
      <c r="D188" s="27"/>
      <c r="E188" s="28" t="s">
        <v>255</v>
      </c>
      <c r="F188" s="476">
        <v>115.3</v>
      </c>
      <c r="G188" s="476"/>
      <c r="H188" s="476">
        <v>115.3</v>
      </c>
      <c r="I188" s="38">
        <v>115.3</v>
      </c>
      <c r="J188" s="38"/>
      <c r="K188" s="38">
        <v>115.3</v>
      </c>
      <c r="L188" s="38">
        <v>115.3</v>
      </c>
      <c r="M188" s="38"/>
      <c r="N188" s="38">
        <v>115.3</v>
      </c>
    </row>
    <row r="189" spans="1:14" x14ac:dyDescent="0.25">
      <c r="A189" s="229"/>
      <c r="B189" s="7"/>
      <c r="C189" s="248"/>
      <c r="D189" s="27"/>
      <c r="E189" s="28" t="s">
        <v>192</v>
      </c>
      <c r="F189" s="476">
        <v>207.9</v>
      </c>
      <c r="G189" s="476"/>
      <c r="H189" s="476">
        <v>207.9</v>
      </c>
      <c r="I189" s="38">
        <v>207.9</v>
      </c>
      <c r="J189" s="38"/>
      <c r="K189" s="38">
        <v>207.9</v>
      </c>
      <c r="L189" s="38">
        <v>207.9</v>
      </c>
      <c r="M189" s="38"/>
      <c r="N189" s="38">
        <v>207.9</v>
      </c>
    </row>
    <row r="190" spans="1:14" ht="25.5" x14ac:dyDescent="0.25">
      <c r="A190" s="225"/>
      <c r="B190" s="27"/>
      <c r="C190" s="248"/>
      <c r="D190" s="27" t="s">
        <v>17</v>
      </c>
      <c r="E190" s="28" t="s">
        <v>18</v>
      </c>
      <c r="F190" s="472">
        <v>20</v>
      </c>
      <c r="G190" s="472"/>
      <c r="H190" s="472">
        <v>20</v>
      </c>
      <c r="I190" s="29">
        <v>20</v>
      </c>
      <c r="J190" s="29"/>
      <c r="K190" s="29">
        <v>20</v>
      </c>
      <c r="L190" s="29">
        <v>20</v>
      </c>
      <c r="M190" s="29"/>
      <c r="N190" s="29">
        <v>20</v>
      </c>
    </row>
    <row r="191" spans="1:14" x14ac:dyDescent="0.25">
      <c r="A191" s="225"/>
      <c r="B191" s="27"/>
      <c r="C191" s="248"/>
      <c r="D191" s="27"/>
      <c r="E191" s="28" t="s">
        <v>192</v>
      </c>
      <c r="F191" s="472">
        <v>20</v>
      </c>
      <c r="G191" s="472"/>
      <c r="H191" s="472">
        <v>20</v>
      </c>
      <c r="I191" s="29">
        <v>20</v>
      </c>
      <c r="J191" s="29"/>
      <c r="K191" s="29">
        <v>20</v>
      </c>
      <c r="L191" s="29">
        <v>20</v>
      </c>
      <c r="M191" s="29"/>
      <c r="N191" s="29">
        <v>20</v>
      </c>
    </row>
    <row r="192" spans="1:14" x14ac:dyDescent="0.25">
      <c r="A192" s="225"/>
      <c r="B192" s="27"/>
      <c r="C192" s="248" t="s">
        <v>257</v>
      </c>
      <c r="D192" s="27"/>
      <c r="E192" s="26" t="s">
        <v>481</v>
      </c>
      <c r="F192" s="472">
        <f>F193</f>
        <v>20.5</v>
      </c>
      <c r="G192" s="472">
        <f>G193</f>
        <v>0</v>
      </c>
      <c r="H192" s="472">
        <f>H193</f>
        <v>20.5</v>
      </c>
      <c r="I192" s="29">
        <f>I193</f>
        <v>50</v>
      </c>
      <c r="J192" s="29"/>
      <c r="K192" s="29">
        <f>K193</f>
        <v>50</v>
      </c>
      <c r="L192" s="29">
        <f>L193</f>
        <v>50</v>
      </c>
      <c r="M192" s="29"/>
      <c r="N192" s="29">
        <f>N193</f>
        <v>50</v>
      </c>
    </row>
    <row r="193" spans="1:14" ht="25.5" x14ac:dyDescent="0.25">
      <c r="A193" s="225"/>
      <c r="B193" s="27"/>
      <c r="C193" s="248"/>
      <c r="D193" s="27" t="s">
        <v>17</v>
      </c>
      <c r="E193" s="28" t="s">
        <v>18</v>
      </c>
      <c r="F193" s="472">
        <v>20.5</v>
      </c>
      <c r="G193" s="472"/>
      <c r="H193" s="472">
        <f>SUM(F193:G193)</f>
        <v>20.5</v>
      </c>
      <c r="I193" s="29">
        <v>50</v>
      </c>
      <c r="J193" s="29"/>
      <c r="K193" s="29">
        <v>50</v>
      </c>
      <c r="L193" s="29">
        <v>50</v>
      </c>
      <c r="M193" s="29"/>
      <c r="N193" s="29">
        <v>50</v>
      </c>
    </row>
    <row r="194" spans="1:14" x14ac:dyDescent="0.25">
      <c r="A194" s="225"/>
      <c r="B194" s="27"/>
      <c r="C194" s="248" t="s">
        <v>258</v>
      </c>
      <c r="D194" s="27"/>
      <c r="E194" s="26" t="s">
        <v>483</v>
      </c>
      <c r="F194" s="472">
        <f>F195</f>
        <v>43.2</v>
      </c>
      <c r="G194" s="472">
        <f>G195</f>
        <v>0</v>
      </c>
      <c r="H194" s="472">
        <f>H195</f>
        <v>43.2</v>
      </c>
      <c r="I194" s="29">
        <f>I195</f>
        <v>13.7</v>
      </c>
      <c r="J194" s="29"/>
      <c r="K194" s="29">
        <f>K195</f>
        <v>13.7</v>
      </c>
      <c r="L194" s="29">
        <f>L195</f>
        <v>13.7</v>
      </c>
      <c r="M194" s="29"/>
      <c r="N194" s="29">
        <f>N195</f>
        <v>13.7</v>
      </c>
    </row>
    <row r="195" spans="1:14" ht="25.5" x14ac:dyDescent="0.25">
      <c r="A195" s="225"/>
      <c r="B195" s="27"/>
      <c r="C195" s="248"/>
      <c r="D195" s="27" t="s">
        <v>17</v>
      </c>
      <c r="E195" s="28" t="s">
        <v>18</v>
      </c>
      <c r="F195" s="472">
        <v>43.2</v>
      </c>
      <c r="G195" s="472"/>
      <c r="H195" s="472">
        <f>SUM(F195:G195)</f>
        <v>43.2</v>
      </c>
      <c r="I195" s="29">
        <v>13.7</v>
      </c>
      <c r="J195" s="29"/>
      <c r="K195" s="29">
        <v>13.7</v>
      </c>
      <c r="L195" s="29">
        <v>13.7</v>
      </c>
      <c r="M195" s="29"/>
      <c r="N195" s="29">
        <v>13.7</v>
      </c>
    </row>
    <row r="196" spans="1:14" ht="26.25" x14ac:dyDescent="0.25">
      <c r="A196" s="225"/>
      <c r="B196" s="27"/>
      <c r="C196" s="248" t="s">
        <v>737</v>
      </c>
      <c r="D196" s="27"/>
      <c r="E196" s="159" t="s">
        <v>736</v>
      </c>
      <c r="F196" s="472">
        <f>F197</f>
        <v>20</v>
      </c>
      <c r="G196" s="472"/>
      <c r="H196" s="472">
        <f>H197</f>
        <v>20</v>
      </c>
      <c r="I196" s="29">
        <f>I197</f>
        <v>20</v>
      </c>
      <c r="J196" s="29"/>
      <c r="K196" s="29">
        <f>K197</f>
        <v>20</v>
      </c>
      <c r="L196" s="29">
        <f>L197</f>
        <v>20</v>
      </c>
      <c r="M196" s="29"/>
      <c r="N196" s="29">
        <f>N197</f>
        <v>20</v>
      </c>
    </row>
    <row r="197" spans="1:14" ht="25.5" x14ac:dyDescent="0.25">
      <c r="A197" s="225"/>
      <c r="B197" s="27"/>
      <c r="C197" s="248"/>
      <c r="D197" s="27" t="s">
        <v>17</v>
      </c>
      <c r="E197" s="28" t="s">
        <v>18</v>
      </c>
      <c r="F197" s="472">
        <v>20</v>
      </c>
      <c r="G197" s="472"/>
      <c r="H197" s="472">
        <v>20</v>
      </c>
      <c r="I197" s="29">
        <v>20</v>
      </c>
      <c r="J197" s="29"/>
      <c r="K197" s="29">
        <v>20</v>
      </c>
      <c r="L197" s="29">
        <v>20</v>
      </c>
      <c r="M197" s="29"/>
      <c r="N197" s="29">
        <v>20</v>
      </c>
    </row>
    <row r="198" spans="1:14" ht="38.25" x14ac:dyDescent="0.25">
      <c r="A198" s="234"/>
      <c r="B198" s="235"/>
      <c r="C198" s="236" t="s">
        <v>336</v>
      </c>
      <c r="D198" s="235"/>
      <c r="E198" s="237" t="s">
        <v>854</v>
      </c>
      <c r="F198" s="492">
        <f t="shared" ref="F198:H200" si="29">F199</f>
        <v>14.9</v>
      </c>
      <c r="G198" s="492">
        <f t="shared" si="29"/>
        <v>0</v>
      </c>
      <c r="H198" s="492">
        <f t="shared" si="29"/>
        <v>14.9</v>
      </c>
      <c r="I198" s="238">
        <f t="shared" ref="I198:N198" si="30">I199</f>
        <v>20</v>
      </c>
      <c r="J198" s="238"/>
      <c r="K198" s="238">
        <f t="shared" si="30"/>
        <v>20</v>
      </c>
      <c r="L198" s="238">
        <f t="shared" si="30"/>
        <v>70.900000000000006</v>
      </c>
      <c r="M198" s="238"/>
      <c r="N198" s="238">
        <f t="shared" si="30"/>
        <v>70.900000000000006</v>
      </c>
    </row>
    <row r="199" spans="1:14" x14ac:dyDescent="0.25">
      <c r="A199" s="244"/>
      <c r="B199" s="34"/>
      <c r="C199" s="245" t="s">
        <v>356</v>
      </c>
      <c r="D199" s="34"/>
      <c r="E199" s="253" t="s">
        <v>357</v>
      </c>
      <c r="F199" s="494">
        <f t="shared" si="29"/>
        <v>14.9</v>
      </c>
      <c r="G199" s="494">
        <f t="shared" si="29"/>
        <v>0</v>
      </c>
      <c r="H199" s="494">
        <f t="shared" si="29"/>
        <v>14.9</v>
      </c>
      <c r="I199" s="247">
        <f>I200</f>
        <v>20</v>
      </c>
      <c r="J199" s="247"/>
      <c r="K199" s="247">
        <f>K200</f>
        <v>20</v>
      </c>
      <c r="L199" s="247">
        <f>L200</f>
        <v>70.900000000000006</v>
      </c>
      <c r="M199" s="247"/>
      <c r="N199" s="247">
        <f>N200</f>
        <v>70.900000000000006</v>
      </c>
    </row>
    <row r="200" spans="1:14" x14ac:dyDescent="0.25">
      <c r="A200" s="229"/>
      <c r="B200" s="7"/>
      <c r="C200" s="313" t="s">
        <v>798</v>
      </c>
      <c r="D200" s="27"/>
      <c r="E200" s="264" t="s">
        <v>855</v>
      </c>
      <c r="F200" s="472">
        <f t="shared" si="29"/>
        <v>14.9</v>
      </c>
      <c r="G200" s="472">
        <f t="shared" si="29"/>
        <v>0</v>
      </c>
      <c r="H200" s="472">
        <f t="shared" si="29"/>
        <v>14.9</v>
      </c>
      <c r="I200" s="29">
        <f>I201</f>
        <v>20</v>
      </c>
      <c r="J200" s="29"/>
      <c r="K200" s="29">
        <f>K201</f>
        <v>20</v>
      </c>
      <c r="L200" s="29">
        <f>L201</f>
        <v>70.900000000000006</v>
      </c>
      <c r="M200" s="29"/>
      <c r="N200" s="29">
        <f>N201</f>
        <v>70.900000000000006</v>
      </c>
    </row>
    <row r="201" spans="1:14" ht="25.5" x14ac:dyDescent="0.25">
      <c r="A201" s="229"/>
      <c r="B201" s="7"/>
      <c r="C201" s="248"/>
      <c r="D201" s="27" t="s">
        <v>17</v>
      </c>
      <c r="E201" s="28" t="s">
        <v>18</v>
      </c>
      <c r="F201" s="472">
        <v>14.9</v>
      </c>
      <c r="G201" s="472"/>
      <c r="H201" s="472">
        <f>SUM(F201:G201)</f>
        <v>14.9</v>
      </c>
      <c r="I201" s="29">
        <v>20</v>
      </c>
      <c r="J201" s="29"/>
      <c r="K201" s="29">
        <v>20</v>
      </c>
      <c r="L201" s="29">
        <v>70.900000000000006</v>
      </c>
      <c r="M201" s="29"/>
      <c r="N201" s="29">
        <v>70.900000000000006</v>
      </c>
    </row>
    <row r="202" spans="1:14" x14ac:dyDescent="0.25">
      <c r="A202" s="229"/>
      <c r="B202" s="7" t="s">
        <v>856</v>
      </c>
      <c r="C202" s="230"/>
      <c r="D202" s="229"/>
      <c r="E202" s="231" t="s">
        <v>857</v>
      </c>
      <c r="F202" s="491">
        <f t="shared" ref="F202:N202" si="31">F203+F227+F233+F265</f>
        <v>108529.1</v>
      </c>
      <c r="G202" s="491">
        <f t="shared" si="31"/>
        <v>-4777.764000000001</v>
      </c>
      <c r="H202" s="491">
        <f t="shared" si="31"/>
        <v>103751.336</v>
      </c>
      <c r="I202" s="232">
        <f t="shared" si="31"/>
        <v>57158.3</v>
      </c>
      <c r="J202" s="232">
        <f t="shared" si="31"/>
        <v>0</v>
      </c>
      <c r="K202" s="232">
        <f t="shared" si="31"/>
        <v>57158.3</v>
      </c>
      <c r="L202" s="232">
        <f t="shared" si="31"/>
        <v>58058.9</v>
      </c>
      <c r="M202" s="232">
        <f t="shared" si="31"/>
        <v>0</v>
      </c>
      <c r="N202" s="232">
        <f t="shared" si="31"/>
        <v>58058.9</v>
      </c>
    </row>
    <row r="203" spans="1:14" x14ac:dyDescent="0.25">
      <c r="A203" s="229"/>
      <c r="B203" s="7" t="s">
        <v>858</v>
      </c>
      <c r="C203" s="230"/>
      <c r="D203" s="7"/>
      <c r="E203" s="233" t="s">
        <v>859</v>
      </c>
      <c r="F203" s="491">
        <f t="shared" ref="F203:L203" si="32">F204+F222</f>
        <v>729.90000000000009</v>
      </c>
      <c r="G203" s="491">
        <f t="shared" si="32"/>
        <v>-0.216</v>
      </c>
      <c r="H203" s="491">
        <f t="shared" si="32"/>
        <v>729.68399999999997</v>
      </c>
      <c r="I203" s="232">
        <f t="shared" si="32"/>
        <v>791.90000000000009</v>
      </c>
      <c r="J203" s="232">
        <f t="shared" si="32"/>
        <v>0</v>
      </c>
      <c r="K203" s="232">
        <f t="shared" si="32"/>
        <v>791.90000000000009</v>
      </c>
      <c r="L203" s="232">
        <f t="shared" si="32"/>
        <v>360.8</v>
      </c>
      <c r="M203" s="232"/>
      <c r="N203" s="232">
        <f>N204+N222</f>
        <v>360.8</v>
      </c>
    </row>
    <row r="204" spans="1:14" ht="25.5" x14ac:dyDescent="0.25">
      <c r="A204" s="229"/>
      <c r="B204" s="7"/>
      <c r="C204" s="230" t="s">
        <v>9</v>
      </c>
      <c r="D204" s="229"/>
      <c r="E204" s="233" t="s">
        <v>10</v>
      </c>
      <c r="F204" s="491">
        <f t="shared" ref="F204:L204" si="33">F205+F216</f>
        <v>599.1</v>
      </c>
      <c r="G204" s="491">
        <f t="shared" si="33"/>
        <v>-0.216</v>
      </c>
      <c r="H204" s="491">
        <f t="shared" si="33"/>
        <v>598.88400000000001</v>
      </c>
      <c r="I204" s="232">
        <f t="shared" si="33"/>
        <v>661.1</v>
      </c>
      <c r="J204" s="232">
        <f t="shared" si="33"/>
        <v>0</v>
      </c>
      <c r="K204" s="232">
        <f t="shared" si="33"/>
        <v>661.1</v>
      </c>
      <c r="L204" s="232">
        <f t="shared" si="33"/>
        <v>230</v>
      </c>
      <c r="M204" s="232"/>
      <c r="N204" s="232">
        <f>N205+N216</f>
        <v>230</v>
      </c>
    </row>
    <row r="205" spans="1:14" ht="38.25" customHeight="1" x14ac:dyDescent="0.25">
      <c r="A205" s="235"/>
      <c r="B205" s="235"/>
      <c r="C205" s="236" t="s">
        <v>327</v>
      </c>
      <c r="D205" s="261"/>
      <c r="E205" s="237" t="s">
        <v>328</v>
      </c>
      <c r="F205" s="492">
        <f>F206+F209</f>
        <v>170</v>
      </c>
      <c r="G205" s="492"/>
      <c r="H205" s="492">
        <f>H206+H209</f>
        <v>170</v>
      </c>
      <c r="I205" s="238">
        <f>I206+I209</f>
        <v>230</v>
      </c>
      <c r="J205" s="238"/>
      <c r="K205" s="238">
        <f>K206+K209</f>
        <v>230</v>
      </c>
      <c r="L205" s="238">
        <f>L206+L209</f>
        <v>230</v>
      </c>
      <c r="M205" s="238"/>
      <c r="N205" s="238">
        <f>N206+N209</f>
        <v>230</v>
      </c>
    </row>
    <row r="206" spans="1:14" ht="25.5" x14ac:dyDescent="0.25">
      <c r="A206" s="254"/>
      <c r="B206" s="255"/>
      <c r="C206" s="245" t="s">
        <v>329</v>
      </c>
      <c r="D206" s="255"/>
      <c r="E206" s="246" t="s">
        <v>330</v>
      </c>
      <c r="F206" s="494">
        <f t="shared" ref="F206:N207" si="34">F207</f>
        <v>70</v>
      </c>
      <c r="G206" s="494"/>
      <c r="H206" s="494">
        <f t="shared" si="34"/>
        <v>70</v>
      </c>
      <c r="I206" s="247">
        <f t="shared" si="34"/>
        <v>70</v>
      </c>
      <c r="J206" s="247"/>
      <c r="K206" s="247">
        <f t="shared" si="34"/>
        <v>70</v>
      </c>
      <c r="L206" s="247">
        <f t="shared" si="34"/>
        <v>70</v>
      </c>
      <c r="M206" s="247"/>
      <c r="N206" s="247">
        <f t="shared" si="34"/>
        <v>70</v>
      </c>
    </row>
    <row r="207" spans="1:14" x14ac:dyDescent="0.25">
      <c r="A207" s="229"/>
      <c r="B207" s="7"/>
      <c r="C207" s="248" t="s">
        <v>331</v>
      </c>
      <c r="D207" s="27"/>
      <c r="E207" s="28" t="s">
        <v>439</v>
      </c>
      <c r="F207" s="472">
        <f t="shared" si="34"/>
        <v>70</v>
      </c>
      <c r="G207" s="472"/>
      <c r="H207" s="472">
        <f t="shared" si="34"/>
        <v>70</v>
      </c>
      <c r="I207" s="29">
        <f t="shared" si="34"/>
        <v>70</v>
      </c>
      <c r="J207" s="29"/>
      <c r="K207" s="29">
        <f t="shared" si="34"/>
        <v>70</v>
      </c>
      <c r="L207" s="29">
        <f t="shared" si="34"/>
        <v>70</v>
      </c>
      <c r="M207" s="29"/>
      <c r="N207" s="29">
        <f t="shared" si="34"/>
        <v>70</v>
      </c>
    </row>
    <row r="208" spans="1:14" ht="25.5" x14ac:dyDescent="0.25">
      <c r="A208" s="225"/>
      <c r="B208" s="27"/>
      <c r="C208" s="248"/>
      <c r="D208" s="27" t="s">
        <v>17</v>
      </c>
      <c r="E208" s="28" t="s">
        <v>18</v>
      </c>
      <c r="F208" s="472">
        <v>70</v>
      </c>
      <c r="G208" s="472"/>
      <c r="H208" s="472">
        <v>70</v>
      </c>
      <c r="I208" s="29">
        <v>70</v>
      </c>
      <c r="J208" s="29"/>
      <c r="K208" s="29">
        <v>70</v>
      </c>
      <c r="L208" s="29">
        <v>70</v>
      </c>
      <c r="M208" s="29"/>
      <c r="N208" s="29">
        <v>70</v>
      </c>
    </row>
    <row r="209" spans="1:14" ht="30.75" customHeight="1" x14ac:dyDescent="0.25">
      <c r="A209" s="274"/>
      <c r="B209" s="275"/>
      <c r="C209" s="276" t="s">
        <v>794</v>
      </c>
      <c r="D209" s="277"/>
      <c r="E209" s="278" t="s">
        <v>332</v>
      </c>
      <c r="F209" s="500">
        <f>F210+F212+F214</f>
        <v>100</v>
      </c>
      <c r="G209" s="500"/>
      <c r="H209" s="500">
        <f>H210+H212+H214</f>
        <v>100</v>
      </c>
      <c r="I209" s="279">
        <f>I210+I212+I214</f>
        <v>160</v>
      </c>
      <c r="J209" s="279"/>
      <c r="K209" s="279">
        <f>K210+K212+K214</f>
        <v>160</v>
      </c>
      <c r="L209" s="279">
        <f>L210+L212+L214</f>
        <v>160</v>
      </c>
      <c r="M209" s="279"/>
      <c r="N209" s="279">
        <f>N210+N212+N214</f>
        <v>160</v>
      </c>
    </row>
    <row r="210" spans="1:14" ht="25.5" x14ac:dyDescent="0.25">
      <c r="A210" s="225"/>
      <c r="B210" s="27"/>
      <c r="C210" s="313" t="s">
        <v>795</v>
      </c>
      <c r="D210" s="7"/>
      <c r="E210" s="273" t="s">
        <v>333</v>
      </c>
      <c r="F210" s="472">
        <f>F211</f>
        <v>70</v>
      </c>
      <c r="G210" s="472"/>
      <c r="H210" s="472">
        <f>H211</f>
        <v>70</v>
      </c>
      <c r="I210" s="29">
        <f>I211</f>
        <v>100</v>
      </c>
      <c r="J210" s="29"/>
      <c r="K210" s="29">
        <f>K211</f>
        <v>100</v>
      </c>
      <c r="L210" s="29">
        <f>L211</f>
        <v>100</v>
      </c>
      <c r="M210" s="29"/>
      <c r="N210" s="29">
        <f>N211</f>
        <v>100</v>
      </c>
    </row>
    <row r="211" spans="1:14" ht="25.5" x14ac:dyDescent="0.25">
      <c r="A211" s="225"/>
      <c r="B211" s="27"/>
      <c r="C211" s="313"/>
      <c r="D211" s="27" t="s">
        <v>17</v>
      </c>
      <c r="E211" s="28" t="s">
        <v>18</v>
      </c>
      <c r="F211" s="472">
        <v>70</v>
      </c>
      <c r="G211" s="472"/>
      <c r="H211" s="472">
        <v>70</v>
      </c>
      <c r="I211" s="29">
        <v>100</v>
      </c>
      <c r="J211" s="29"/>
      <c r="K211" s="29">
        <v>100</v>
      </c>
      <c r="L211" s="29">
        <v>100</v>
      </c>
      <c r="M211" s="29"/>
      <c r="N211" s="29">
        <v>100</v>
      </c>
    </row>
    <row r="212" spans="1:14" x14ac:dyDescent="0.25">
      <c r="A212" s="225"/>
      <c r="B212" s="27"/>
      <c r="C212" s="313" t="s">
        <v>796</v>
      </c>
      <c r="D212" s="27"/>
      <c r="E212" s="280" t="s">
        <v>334</v>
      </c>
      <c r="F212" s="472">
        <f>F213</f>
        <v>0</v>
      </c>
      <c r="G212" s="472"/>
      <c r="H212" s="472">
        <f>H213</f>
        <v>0</v>
      </c>
      <c r="I212" s="29">
        <f>I213</f>
        <v>20</v>
      </c>
      <c r="J212" s="29"/>
      <c r="K212" s="29">
        <f>K213</f>
        <v>20</v>
      </c>
      <c r="L212" s="29">
        <f>L213</f>
        <v>20</v>
      </c>
      <c r="M212" s="29"/>
      <c r="N212" s="29">
        <f>N213</f>
        <v>20</v>
      </c>
    </row>
    <row r="213" spans="1:14" ht="25.5" x14ac:dyDescent="0.25">
      <c r="A213" s="225"/>
      <c r="B213" s="27"/>
      <c r="C213" s="313"/>
      <c r="D213" s="27" t="s">
        <v>17</v>
      </c>
      <c r="E213" s="28" t="s">
        <v>18</v>
      </c>
      <c r="F213" s="472">
        <v>0</v>
      </c>
      <c r="G213" s="472"/>
      <c r="H213" s="472">
        <v>0</v>
      </c>
      <c r="I213" s="29">
        <v>20</v>
      </c>
      <c r="J213" s="29"/>
      <c r="K213" s="29">
        <v>20</v>
      </c>
      <c r="L213" s="29">
        <v>20</v>
      </c>
      <c r="M213" s="29"/>
      <c r="N213" s="29">
        <v>20</v>
      </c>
    </row>
    <row r="214" spans="1:14" x14ac:dyDescent="0.25">
      <c r="A214" s="225"/>
      <c r="B214" s="27"/>
      <c r="C214" s="313" t="s">
        <v>797</v>
      </c>
      <c r="D214" s="27"/>
      <c r="E214" s="273" t="s">
        <v>335</v>
      </c>
      <c r="F214" s="472">
        <f>F215</f>
        <v>30</v>
      </c>
      <c r="G214" s="472"/>
      <c r="H214" s="472">
        <f>H215</f>
        <v>30</v>
      </c>
      <c r="I214" s="29">
        <f>I215</f>
        <v>40</v>
      </c>
      <c r="J214" s="29"/>
      <c r="K214" s="29">
        <f>K215</f>
        <v>40</v>
      </c>
      <c r="L214" s="29">
        <f>L215</f>
        <v>40</v>
      </c>
      <c r="M214" s="29"/>
      <c r="N214" s="29">
        <f>N215</f>
        <v>40</v>
      </c>
    </row>
    <row r="215" spans="1:14" ht="25.5" x14ac:dyDescent="0.25">
      <c r="A215" s="225"/>
      <c r="B215" s="27"/>
      <c r="C215" s="248"/>
      <c r="D215" s="27" t="s">
        <v>17</v>
      </c>
      <c r="E215" s="28" t="s">
        <v>18</v>
      </c>
      <c r="F215" s="472">
        <v>30</v>
      </c>
      <c r="G215" s="472"/>
      <c r="H215" s="472">
        <v>30</v>
      </c>
      <c r="I215" s="29">
        <v>40</v>
      </c>
      <c r="J215" s="29"/>
      <c r="K215" s="29">
        <v>40</v>
      </c>
      <c r="L215" s="29">
        <v>40</v>
      </c>
      <c r="M215" s="29"/>
      <c r="N215" s="29">
        <v>40</v>
      </c>
    </row>
    <row r="216" spans="1:14" ht="38.25" x14ac:dyDescent="0.25">
      <c r="A216" s="281"/>
      <c r="B216" s="282"/>
      <c r="C216" s="283" t="s">
        <v>370</v>
      </c>
      <c r="D216" s="282"/>
      <c r="E216" s="284" t="s">
        <v>412</v>
      </c>
      <c r="F216" s="501">
        <f t="shared" ref="F216:L216" si="35">F217</f>
        <v>429.1</v>
      </c>
      <c r="G216" s="501">
        <f t="shared" si="35"/>
        <v>-0.216</v>
      </c>
      <c r="H216" s="501">
        <f t="shared" si="35"/>
        <v>428.88399999999996</v>
      </c>
      <c r="I216" s="285">
        <f t="shared" si="35"/>
        <v>431.1</v>
      </c>
      <c r="J216" s="285">
        <f t="shared" si="35"/>
        <v>0</v>
      </c>
      <c r="K216" s="285">
        <f t="shared" si="35"/>
        <v>431.1</v>
      </c>
      <c r="L216" s="285">
        <f t="shared" si="35"/>
        <v>0</v>
      </c>
      <c r="M216" s="285"/>
      <c r="N216" s="285">
        <f>N217</f>
        <v>0</v>
      </c>
    </row>
    <row r="217" spans="1:14" ht="38.25" x14ac:dyDescent="0.25">
      <c r="A217" s="254"/>
      <c r="B217" s="255"/>
      <c r="C217" s="265" t="s">
        <v>434</v>
      </c>
      <c r="D217" s="255"/>
      <c r="E217" s="246" t="s">
        <v>371</v>
      </c>
      <c r="F217" s="494">
        <f>F218</f>
        <v>429.1</v>
      </c>
      <c r="G217" s="494">
        <f t="shared" ref="G217:N217" si="36">G218</f>
        <v>-0.216</v>
      </c>
      <c r="H217" s="494">
        <f t="shared" si="36"/>
        <v>428.88399999999996</v>
      </c>
      <c r="I217" s="494">
        <f t="shared" si="36"/>
        <v>431.1</v>
      </c>
      <c r="J217" s="494">
        <f t="shared" si="36"/>
        <v>0</v>
      </c>
      <c r="K217" s="494">
        <f t="shared" si="36"/>
        <v>431.1</v>
      </c>
      <c r="L217" s="494">
        <f t="shared" si="36"/>
        <v>0</v>
      </c>
      <c r="M217" s="494">
        <f t="shared" si="36"/>
        <v>0</v>
      </c>
      <c r="N217" s="494">
        <f t="shared" si="36"/>
        <v>0</v>
      </c>
    </row>
    <row r="218" spans="1:14" ht="38.25" x14ac:dyDescent="0.25">
      <c r="A218" s="225"/>
      <c r="B218" s="27"/>
      <c r="C218" s="248" t="s">
        <v>489</v>
      </c>
      <c r="D218" s="27"/>
      <c r="E218" s="28" t="s">
        <v>490</v>
      </c>
      <c r="F218" s="472">
        <f>F219</f>
        <v>429.1</v>
      </c>
      <c r="G218" s="473">
        <f>G219</f>
        <v>-0.216</v>
      </c>
      <c r="H218" s="472">
        <f>H219</f>
        <v>428.88399999999996</v>
      </c>
      <c r="I218" s="29">
        <f>I219</f>
        <v>431.1</v>
      </c>
      <c r="J218" s="29">
        <f>J219</f>
        <v>0</v>
      </c>
      <c r="K218" s="29">
        <f>K219</f>
        <v>431.1</v>
      </c>
      <c r="L218" s="29">
        <v>0</v>
      </c>
      <c r="M218" s="29"/>
      <c r="N218" s="29">
        <v>0</v>
      </c>
    </row>
    <row r="219" spans="1:14" x14ac:dyDescent="0.25">
      <c r="A219" s="225"/>
      <c r="B219" s="27"/>
      <c r="C219" s="248"/>
      <c r="D219" s="27" t="s">
        <v>17</v>
      </c>
      <c r="E219" s="28" t="s">
        <v>372</v>
      </c>
      <c r="F219" s="472">
        <f>SUM(F220:F221)</f>
        <v>429.1</v>
      </c>
      <c r="G219" s="470">
        <f>SUM(G220:G221)</f>
        <v>-0.216</v>
      </c>
      <c r="H219" s="472">
        <f>SUM(H220:H221)</f>
        <v>428.88399999999996</v>
      </c>
      <c r="I219" s="29">
        <f>SUM(I220:I221)</f>
        <v>431.1</v>
      </c>
      <c r="J219" s="29"/>
      <c r="K219" s="29">
        <f>SUM(K220:K221)</f>
        <v>431.1</v>
      </c>
      <c r="L219" s="29">
        <v>0</v>
      </c>
      <c r="M219" s="29"/>
      <c r="N219" s="29">
        <v>0</v>
      </c>
    </row>
    <row r="220" spans="1:14" x14ac:dyDescent="0.25">
      <c r="A220" s="225"/>
      <c r="B220" s="27"/>
      <c r="C220" s="248"/>
      <c r="D220" s="27"/>
      <c r="E220" s="28" t="s">
        <v>102</v>
      </c>
      <c r="F220" s="472">
        <v>321.7</v>
      </c>
      <c r="G220" s="470">
        <v>-3.3000000000000002E-2</v>
      </c>
      <c r="H220" s="472">
        <f>SUM(F220:G220)</f>
        <v>321.66699999999997</v>
      </c>
      <c r="I220" s="29">
        <v>323.3</v>
      </c>
      <c r="J220" s="29"/>
      <c r="K220" s="29">
        <v>323.3</v>
      </c>
      <c r="L220" s="29">
        <v>0</v>
      </c>
      <c r="M220" s="29"/>
      <c r="N220" s="29">
        <v>0</v>
      </c>
    </row>
    <row r="221" spans="1:14" x14ac:dyDescent="0.25">
      <c r="A221" s="225"/>
      <c r="B221" s="27"/>
      <c r="C221" s="248"/>
      <c r="D221" s="27"/>
      <c r="E221" s="28" t="s">
        <v>146</v>
      </c>
      <c r="F221" s="472">
        <v>107.4</v>
      </c>
      <c r="G221" s="470">
        <v>-0.183</v>
      </c>
      <c r="H221" s="472">
        <f>SUM(F221:G221)</f>
        <v>107.217</v>
      </c>
      <c r="I221" s="29">
        <v>107.8</v>
      </c>
      <c r="J221" s="29"/>
      <c r="K221" s="29">
        <v>107.8</v>
      </c>
      <c r="L221" s="29">
        <v>0</v>
      </c>
      <c r="M221" s="29"/>
      <c r="N221" s="29">
        <v>0</v>
      </c>
    </row>
    <row r="222" spans="1:14" x14ac:dyDescent="0.25">
      <c r="A222" s="229"/>
      <c r="B222" s="7"/>
      <c r="C222" s="230" t="s">
        <v>825</v>
      </c>
      <c r="D222" s="7"/>
      <c r="E222" s="231" t="s">
        <v>1114</v>
      </c>
      <c r="F222" s="491">
        <f t="shared" ref="F222:N223" si="37">SUM(F223)</f>
        <v>130.80000000000001</v>
      </c>
      <c r="G222" s="601"/>
      <c r="H222" s="491">
        <f t="shared" si="37"/>
        <v>130.80000000000001</v>
      </c>
      <c r="I222" s="232">
        <f t="shared" si="37"/>
        <v>130.80000000000001</v>
      </c>
      <c r="J222" s="232"/>
      <c r="K222" s="232">
        <f t="shared" si="37"/>
        <v>130.80000000000001</v>
      </c>
      <c r="L222" s="232">
        <f t="shared" si="37"/>
        <v>130.80000000000001</v>
      </c>
      <c r="M222" s="232"/>
      <c r="N222" s="232">
        <f t="shared" si="37"/>
        <v>130.80000000000001</v>
      </c>
    </row>
    <row r="223" spans="1:14" ht="38.25" x14ac:dyDescent="0.25">
      <c r="A223" s="229"/>
      <c r="B223" s="7"/>
      <c r="C223" s="230" t="s">
        <v>383</v>
      </c>
      <c r="D223" s="7"/>
      <c r="E223" s="231" t="s">
        <v>384</v>
      </c>
      <c r="F223" s="491">
        <f t="shared" si="37"/>
        <v>130.80000000000001</v>
      </c>
      <c r="G223" s="601"/>
      <c r="H223" s="491">
        <f t="shared" si="37"/>
        <v>130.80000000000001</v>
      </c>
      <c r="I223" s="232">
        <f t="shared" si="37"/>
        <v>130.80000000000001</v>
      </c>
      <c r="J223" s="232"/>
      <c r="K223" s="232">
        <f t="shared" si="37"/>
        <v>130.80000000000001</v>
      </c>
      <c r="L223" s="232">
        <f t="shared" si="37"/>
        <v>130.80000000000001</v>
      </c>
      <c r="M223" s="232"/>
      <c r="N223" s="232">
        <f t="shared" si="37"/>
        <v>130.80000000000001</v>
      </c>
    </row>
    <row r="224" spans="1:14" ht="38.25" x14ac:dyDescent="0.25">
      <c r="A224" s="225"/>
      <c r="B224" s="27"/>
      <c r="C224" s="248" t="s">
        <v>395</v>
      </c>
      <c r="D224" s="27"/>
      <c r="E224" s="28" t="s">
        <v>860</v>
      </c>
      <c r="F224" s="472">
        <f>F225</f>
        <v>130.80000000000001</v>
      </c>
      <c r="G224" s="473">
        <v>0</v>
      </c>
      <c r="H224" s="472">
        <v>130.80000000000001</v>
      </c>
      <c r="I224" s="29">
        <f>I225</f>
        <v>130.80000000000001</v>
      </c>
      <c r="J224" s="29"/>
      <c r="K224" s="29">
        <f>K225</f>
        <v>130.80000000000001</v>
      </c>
      <c r="L224" s="29">
        <f>L225</f>
        <v>130.80000000000001</v>
      </c>
      <c r="M224" s="29"/>
      <c r="N224" s="29">
        <f>N225</f>
        <v>130.80000000000001</v>
      </c>
    </row>
    <row r="225" spans="1:14" ht="25.5" x14ac:dyDescent="0.25">
      <c r="A225" s="225"/>
      <c r="B225" s="27"/>
      <c r="C225" s="248"/>
      <c r="D225" s="27" t="s">
        <v>17</v>
      </c>
      <c r="E225" s="30" t="s">
        <v>18</v>
      </c>
      <c r="F225" s="472">
        <v>130.80000000000001</v>
      </c>
      <c r="G225" s="473">
        <v>-130.80000000000001</v>
      </c>
      <c r="H225" s="472">
        <v>0</v>
      </c>
      <c r="I225" s="29">
        <v>130.80000000000001</v>
      </c>
      <c r="J225" s="29"/>
      <c r="K225" s="29">
        <v>130.80000000000001</v>
      </c>
      <c r="L225" s="29">
        <v>130.80000000000001</v>
      </c>
      <c r="M225" s="29"/>
      <c r="N225" s="29">
        <v>130.80000000000001</v>
      </c>
    </row>
    <row r="226" spans="1:14" ht="25.5" x14ac:dyDescent="0.25">
      <c r="A226" s="225"/>
      <c r="B226" s="27"/>
      <c r="C226" s="248"/>
      <c r="D226" s="27" t="s">
        <v>64</v>
      </c>
      <c r="E226" s="30" t="s">
        <v>65</v>
      </c>
      <c r="F226" s="472"/>
      <c r="G226" s="473">
        <v>130.80000000000001</v>
      </c>
      <c r="H226" s="472">
        <v>130.80000000000001</v>
      </c>
      <c r="I226" s="29"/>
      <c r="J226" s="29"/>
      <c r="K226" s="29"/>
      <c r="L226" s="29"/>
      <c r="M226" s="29"/>
      <c r="N226" s="29"/>
    </row>
    <row r="227" spans="1:14" x14ac:dyDescent="0.25">
      <c r="A227" s="229"/>
      <c r="B227" s="7" t="s">
        <v>861</v>
      </c>
      <c r="C227" s="230"/>
      <c r="D227" s="229"/>
      <c r="E227" s="231" t="s">
        <v>862</v>
      </c>
      <c r="F227" s="491">
        <f t="shared" ref="F227:N231" si="38">F228</f>
        <v>3173.9</v>
      </c>
      <c r="G227" s="491">
        <f t="shared" si="38"/>
        <v>0</v>
      </c>
      <c r="H227" s="491">
        <f t="shared" si="38"/>
        <v>3173.9</v>
      </c>
      <c r="I227" s="232">
        <f t="shared" si="38"/>
        <v>2670.9</v>
      </c>
      <c r="J227" s="232"/>
      <c r="K227" s="232">
        <f t="shared" si="38"/>
        <v>2670.9</v>
      </c>
      <c r="L227" s="232">
        <f t="shared" si="38"/>
        <v>2670.9</v>
      </c>
      <c r="M227" s="232"/>
      <c r="N227" s="232">
        <f t="shared" si="38"/>
        <v>2670.9</v>
      </c>
    </row>
    <row r="228" spans="1:14" ht="25.5" x14ac:dyDescent="0.25">
      <c r="A228" s="234"/>
      <c r="B228" s="235"/>
      <c r="C228" s="236" t="s">
        <v>299</v>
      </c>
      <c r="D228" s="235"/>
      <c r="E228" s="237" t="s">
        <v>300</v>
      </c>
      <c r="F228" s="492">
        <f t="shared" si="38"/>
        <v>3173.9</v>
      </c>
      <c r="G228" s="492">
        <f t="shared" si="38"/>
        <v>0</v>
      </c>
      <c r="H228" s="492">
        <f t="shared" si="38"/>
        <v>3173.9</v>
      </c>
      <c r="I228" s="238">
        <f t="shared" si="38"/>
        <v>2670.9</v>
      </c>
      <c r="J228" s="238"/>
      <c r="K228" s="238">
        <f t="shared" si="38"/>
        <v>2670.9</v>
      </c>
      <c r="L228" s="238">
        <f t="shared" si="38"/>
        <v>2670.9</v>
      </c>
      <c r="M228" s="238"/>
      <c r="N228" s="238">
        <f t="shared" si="38"/>
        <v>2670.9</v>
      </c>
    </row>
    <row r="229" spans="1:14" ht="25.5" x14ac:dyDescent="0.25">
      <c r="A229" s="294"/>
      <c r="B229" s="287"/>
      <c r="C229" s="288" t="s">
        <v>316</v>
      </c>
      <c r="D229" s="287"/>
      <c r="E229" s="295" t="s">
        <v>317</v>
      </c>
      <c r="F229" s="493">
        <f t="shared" si="38"/>
        <v>3173.9</v>
      </c>
      <c r="G229" s="493">
        <f t="shared" si="38"/>
        <v>0</v>
      </c>
      <c r="H229" s="493">
        <f t="shared" si="38"/>
        <v>3173.9</v>
      </c>
      <c r="I229" s="290">
        <f t="shared" si="38"/>
        <v>2670.9</v>
      </c>
      <c r="J229" s="290"/>
      <c r="K229" s="290">
        <f t="shared" si="38"/>
        <v>2670.9</v>
      </c>
      <c r="L229" s="290">
        <f t="shared" si="38"/>
        <v>2670.9</v>
      </c>
      <c r="M229" s="290"/>
      <c r="N229" s="290">
        <f t="shared" si="38"/>
        <v>2670.9</v>
      </c>
    </row>
    <row r="230" spans="1:14" ht="25.5" x14ac:dyDescent="0.25">
      <c r="A230" s="244"/>
      <c r="B230" s="34"/>
      <c r="C230" s="245" t="s">
        <v>318</v>
      </c>
      <c r="D230" s="34"/>
      <c r="E230" s="253" t="s">
        <v>319</v>
      </c>
      <c r="F230" s="494">
        <f t="shared" si="38"/>
        <v>3173.9</v>
      </c>
      <c r="G230" s="494">
        <f t="shared" si="38"/>
        <v>0</v>
      </c>
      <c r="H230" s="494">
        <f t="shared" si="38"/>
        <v>3173.9</v>
      </c>
      <c r="I230" s="247">
        <f t="shared" si="38"/>
        <v>2670.9</v>
      </c>
      <c r="J230" s="247"/>
      <c r="K230" s="247">
        <f t="shared" si="38"/>
        <v>2670.9</v>
      </c>
      <c r="L230" s="247">
        <f t="shared" si="38"/>
        <v>2670.9</v>
      </c>
      <c r="M230" s="247"/>
      <c r="N230" s="247">
        <f t="shared" si="38"/>
        <v>2670.9</v>
      </c>
    </row>
    <row r="231" spans="1:14" ht="25.5" x14ac:dyDescent="0.25">
      <c r="A231" s="229"/>
      <c r="B231" s="27"/>
      <c r="C231" s="248" t="s">
        <v>431</v>
      </c>
      <c r="D231" s="7"/>
      <c r="E231" s="30" t="s">
        <v>320</v>
      </c>
      <c r="F231" s="472">
        <f t="shared" si="38"/>
        <v>3173.9</v>
      </c>
      <c r="G231" s="472">
        <f t="shared" si="38"/>
        <v>0</v>
      </c>
      <c r="H231" s="472">
        <f t="shared" si="38"/>
        <v>3173.9</v>
      </c>
      <c r="I231" s="29">
        <f t="shared" si="38"/>
        <v>2670.9</v>
      </c>
      <c r="J231" s="29"/>
      <c r="K231" s="29">
        <f t="shared" si="38"/>
        <v>2670.9</v>
      </c>
      <c r="L231" s="29">
        <f t="shared" si="38"/>
        <v>2670.9</v>
      </c>
      <c r="M231" s="29"/>
      <c r="N231" s="29">
        <f t="shared" si="38"/>
        <v>2670.9</v>
      </c>
    </row>
    <row r="232" spans="1:14" ht="25.5" x14ac:dyDescent="0.25">
      <c r="A232" s="225"/>
      <c r="B232" s="27"/>
      <c r="C232" s="248"/>
      <c r="D232" s="27" t="s">
        <v>17</v>
      </c>
      <c r="E232" s="30" t="s">
        <v>18</v>
      </c>
      <c r="F232" s="472">
        <v>3173.9</v>
      </c>
      <c r="G232" s="472"/>
      <c r="H232" s="472">
        <f>SUM(F232:G232)</f>
        <v>3173.9</v>
      </c>
      <c r="I232" s="29">
        <v>2670.9</v>
      </c>
      <c r="J232" s="29"/>
      <c r="K232" s="29">
        <v>2670.9</v>
      </c>
      <c r="L232" s="29">
        <v>2670.9</v>
      </c>
      <c r="M232" s="29"/>
      <c r="N232" s="29">
        <v>2670.9</v>
      </c>
    </row>
    <row r="233" spans="1:14" x14ac:dyDescent="0.25">
      <c r="A233" s="225"/>
      <c r="B233" s="7" t="s">
        <v>863</v>
      </c>
      <c r="C233" s="230"/>
      <c r="D233" s="229"/>
      <c r="E233" s="231" t="s">
        <v>864</v>
      </c>
      <c r="F233" s="491">
        <f t="shared" ref="F233:N234" si="39">F234</f>
        <v>96400.6</v>
      </c>
      <c r="G233" s="491">
        <f t="shared" si="39"/>
        <v>-4209.0690000000004</v>
      </c>
      <c r="H233" s="491">
        <f t="shared" si="39"/>
        <v>92191.530999999988</v>
      </c>
      <c r="I233" s="232">
        <f t="shared" si="39"/>
        <v>47127.8</v>
      </c>
      <c r="J233" s="232"/>
      <c r="K233" s="232">
        <f t="shared" si="39"/>
        <v>47127.8</v>
      </c>
      <c r="L233" s="232">
        <f t="shared" si="39"/>
        <v>49070.600000000006</v>
      </c>
      <c r="M233" s="232"/>
      <c r="N233" s="232">
        <f t="shared" si="39"/>
        <v>49070.600000000006</v>
      </c>
    </row>
    <row r="234" spans="1:14" ht="25.5" x14ac:dyDescent="0.25">
      <c r="A234" s="225"/>
      <c r="B234" s="7"/>
      <c r="C234" s="230" t="s">
        <v>9</v>
      </c>
      <c r="D234" s="229"/>
      <c r="E234" s="233" t="s">
        <v>10</v>
      </c>
      <c r="F234" s="491">
        <f t="shared" si="39"/>
        <v>96400.6</v>
      </c>
      <c r="G234" s="491">
        <f t="shared" si="39"/>
        <v>-4209.0690000000004</v>
      </c>
      <c r="H234" s="491">
        <f t="shared" si="39"/>
        <v>92191.530999999988</v>
      </c>
      <c r="I234" s="232">
        <f t="shared" si="39"/>
        <v>47127.8</v>
      </c>
      <c r="J234" s="232"/>
      <c r="K234" s="232">
        <f t="shared" si="39"/>
        <v>47127.8</v>
      </c>
      <c r="L234" s="232">
        <f t="shared" si="39"/>
        <v>49070.600000000006</v>
      </c>
      <c r="M234" s="232"/>
      <c r="N234" s="232">
        <f t="shared" si="39"/>
        <v>49070.600000000006</v>
      </c>
    </row>
    <row r="235" spans="1:14" ht="25.5" x14ac:dyDescent="0.25">
      <c r="A235" s="260"/>
      <c r="B235" s="235"/>
      <c r="C235" s="236" t="s">
        <v>299</v>
      </c>
      <c r="D235" s="235"/>
      <c r="E235" s="237" t="s">
        <v>300</v>
      </c>
      <c r="F235" s="492">
        <f>F236+F261</f>
        <v>96400.6</v>
      </c>
      <c r="G235" s="492">
        <f>G236+G261</f>
        <v>-4209.0690000000004</v>
      </c>
      <c r="H235" s="492">
        <f>H236+H261</f>
        <v>92191.530999999988</v>
      </c>
      <c r="I235" s="238">
        <f>I236+I261</f>
        <v>47127.8</v>
      </c>
      <c r="J235" s="238"/>
      <c r="K235" s="238">
        <f>K236+K261</f>
        <v>47127.8</v>
      </c>
      <c r="L235" s="238">
        <f>L236+L261</f>
        <v>49070.600000000006</v>
      </c>
      <c r="M235" s="238"/>
      <c r="N235" s="238">
        <f>N236+N261</f>
        <v>49070.600000000006</v>
      </c>
    </row>
    <row r="236" spans="1:14" ht="25.5" x14ac:dyDescent="0.25">
      <c r="A236" s="294"/>
      <c r="B236" s="287"/>
      <c r="C236" s="288" t="s">
        <v>301</v>
      </c>
      <c r="D236" s="287"/>
      <c r="E236" s="295" t="s">
        <v>865</v>
      </c>
      <c r="F236" s="493">
        <f>F237+F245+F258+F240</f>
        <v>96136.1</v>
      </c>
      <c r="G236" s="493">
        <f>G237+G245+G258+G240</f>
        <v>-4209.0690000000004</v>
      </c>
      <c r="H236" s="493">
        <f>H237+H245+H258+H240</f>
        <v>91927.030999999988</v>
      </c>
      <c r="I236" s="290">
        <f>I237+I245+I258+I240</f>
        <v>46927.8</v>
      </c>
      <c r="J236" s="290"/>
      <c r="K236" s="290">
        <f>K237+K245+K258+K240</f>
        <v>46927.8</v>
      </c>
      <c r="L236" s="290">
        <f>L237+L245+L258+L240</f>
        <v>48870.600000000006</v>
      </c>
      <c r="M236" s="290"/>
      <c r="N236" s="290">
        <f>N237+N245+N258+N240</f>
        <v>48870.600000000006</v>
      </c>
    </row>
    <row r="237" spans="1:14" x14ac:dyDescent="0.25">
      <c r="A237" s="254"/>
      <c r="B237" s="34"/>
      <c r="C237" s="245" t="s">
        <v>303</v>
      </c>
      <c r="D237" s="34"/>
      <c r="E237" s="246" t="s">
        <v>866</v>
      </c>
      <c r="F237" s="494">
        <f t="shared" ref="F237:N238" si="40">F238</f>
        <v>500</v>
      </c>
      <c r="G237" s="494"/>
      <c r="H237" s="494">
        <f t="shared" si="40"/>
        <v>500</v>
      </c>
      <c r="I237" s="247">
        <f t="shared" si="40"/>
        <v>500</v>
      </c>
      <c r="J237" s="247"/>
      <c r="K237" s="247">
        <f t="shared" si="40"/>
        <v>500</v>
      </c>
      <c r="L237" s="247">
        <f t="shared" si="40"/>
        <v>500</v>
      </c>
      <c r="M237" s="247"/>
      <c r="N237" s="247">
        <f t="shared" si="40"/>
        <v>500</v>
      </c>
    </row>
    <row r="238" spans="1:14" x14ac:dyDescent="0.25">
      <c r="A238" s="225"/>
      <c r="B238" s="27"/>
      <c r="C238" s="248" t="s">
        <v>305</v>
      </c>
      <c r="D238" s="7"/>
      <c r="E238" s="28" t="s">
        <v>306</v>
      </c>
      <c r="F238" s="472">
        <f t="shared" si="40"/>
        <v>500</v>
      </c>
      <c r="G238" s="472"/>
      <c r="H238" s="472">
        <f t="shared" si="40"/>
        <v>500</v>
      </c>
      <c r="I238" s="29">
        <f t="shared" si="40"/>
        <v>500</v>
      </c>
      <c r="J238" s="29"/>
      <c r="K238" s="29">
        <f t="shared" si="40"/>
        <v>500</v>
      </c>
      <c r="L238" s="29">
        <f t="shared" si="40"/>
        <v>500</v>
      </c>
      <c r="M238" s="29"/>
      <c r="N238" s="29">
        <f t="shared" si="40"/>
        <v>500</v>
      </c>
    </row>
    <row r="239" spans="1:14" ht="25.5" x14ac:dyDescent="0.25">
      <c r="A239" s="225"/>
      <c r="B239" s="27"/>
      <c r="C239" s="248"/>
      <c r="D239" s="27" t="s">
        <v>17</v>
      </c>
      <c r="E239" s="30" t="s">
        <v>18</v>
      </c>
      <c r="F239" s="473">
        <v>500</v>
      </c>
      <c r="G239" s="473"/>
      <c r="H239" s="473">
        <v>500</v>
      </c>
      <c r="I239" s="29">
        <v>500</v>
      </c>
      <c r="J239" s="29"/>
      <c r="K239" s="29">
        <v>500</v>
      </c>
      <c r="L239" s="29">
        <v>500</v>
      </c>
      <c r="M239" s="29"/>
      <c r="N239" s="29">
        <v>500</v>
      </c>
    </row>
    <row r="240" spans="1:14" ht="25.5" x14ac:dyDescent="0.25">
      <c r="A240" s="254"/>
      <c r="B240" s="34"/>
      <c r="C240" s="245" t="s">
        <v>484</v>
      </c>
      <c r="D240" s="34"/>
      <c r="E240" s="246" t="s">
        <v>486</v>
      </c>
      <c r="F240" s="494">
        <f t="shared" ref="F240:I241" si="41">F241</f>
        <v>0</v>
      </c>
      <c r="G240" s="494"/>
      <c r="H240" s="494">
        <f t="shared" si="41"/>
        <v>0</v>
      </c>
      <c r="I240" s="247">
        <f t="shared" si="41"/>
        <v>0</v>
      </c>
      <c r="J240" s="247"/>
      <c r="K240" s="247">
        <f>K241</f>
        <v>0</v>
      </c>
      <c r="L240" s="247">
        <v>0</v>
      </c>
      <c r="M240" s="247"/>
      <c r="N240" s="247">
        <v>0</v>
      </c>
    </row>
    <row r="241" spans="1:14" x14ac:dyDescent="0.25">
      <c r="A241" s="225"/>
      <c r="B241" s="27"/>
      <c r="C241" s="293" t="s">
        <v>485</v>
      </c>
      <c r="D241" s="46"/>
      <c r="E241" s="47" t="s">
        <v>487</v>
      </c>
      <c r="F241" s="473">
        <f t="shared" si="41"/>
        <v>0</v>
      </c>
      <c r="G241" s="473"/>
      <c r="H241" s="473">
        <f t="shared" si="41"/>
        <v>0</v>
      </c>
      <c r="I241" s="8">
        <f t="shared" si="41"/>
        <v>0</v>
      </c>
      <c r="J241" s="8"/>
      <c r="K241" s="8">
        <f>K242</f>
        <v>0</v>
      </c>
      <c r="L241" s="29">
        <v>0</v>
      </c>
      <c r="M241" s="8"/>
      <c r="N241" s="29">
        <v>0</v>
      </c>
    </row>
    <row r="242" spans="1:14" ht="25.5" x14ac:dyDescent="0.25">
      <c r="A242" s="225"/>
      <c r="B242" s="27"/>
      <c r="C242" s="293"/>
      <c r="D242" s="46" t="s">
        <v>17</v>
      </c>
      <c r="E242" s="47" t="s">
        <v>18</v>
      </c>
      <c r="F242" s="473">
        <f>F243+F244</f>
        <v>0</v>
      </c>
      <c r="G242" s="473"/>
      <c r="H242" s="473">
        <f>H243+H244</f>
        <v>0</v>
      </c>
      <c r="I242" s="8">
        <f>I243+I244</f>
        <v>0</v>
      </c>
      <c r="J242" s="8"/>
      <c r="K242" s="8">
        <f>K243+K244</f>
        <v>0</v>
      </c>
      <c r="L242" s="29">
        <v>0</v>
      </c>
      <c r="M242" s="8"/>
      <c r="N242" s="29">
        <v>0</v>
      </c>
    </row>
    <row r="243" spans="1:14" x14ac:dyDescent="0.25">
      <c r="A243" s="225"/>
      <c r="B243" s="27"/>
      <c r="C243" s="293"/>
      <c r="D243" s="46"/>
      <c r="E243" s="47" t="s">
        <v>87</v>
      </c>
      <c r="F243" s="472">
        <v>0</v>
      </c>
      <c r="G243" s="472"/>
      <c r="H243" s="472">
        <f>SUM(F243:G243)</f>
        <v>0</v>
      </c>
      <c r="I243" s="29">
        <v>0</v>
      </c>
      <c r="J243" s="29"/>
      <c r="K243" s="29">
        <v>0</v>
      </c>
      <c r="L243" s="29">
        <v>0</v>
      </c>
      <c r="M243" s="29"/>
      <c r="N243" s="29">
        <v>0</v>
      </c>
    </row>
    <row r="244" spans="1:14" x14ac:dyDescent="0.25">
      <c r="A244" s="225"/>
      <c r="B244" s="27"/>
      <c r="C244" s="293"/>
      <c r="D244" s="46"/>
      <c r="E244" s="28" t="s">
        <v>146</v>
      </c>
      <c r="F244" s="472">
        <v>0</v>
      </c>
      <c r="G244" s="472"/>
      <c r="H244" s="472">
        <f>SUM(F244:G244)</f>
        <v>0</v>
      </c>
      <c r="I244" s="29">
        <v>0</v>
      </c>
      <c r="J244" s="29"/>
      <c r="K244" s="29">
        <v>0</v>
      </c>
      <c r="L244" s="29">
        <v>0</v>
      </c>
      <c r="M244" s="29"/>
      <c r="N244" s="29">
        <v>0</v>
      </c>
    </row>
    <row r="245" spans="1:14" ht="25.5" x14ac:dyDescent="0.25">
      <c r="A245" s="254"/>
      <c r="B245" s="255"/>
      <c r="C245" s="245" t="s">
        <v>307</v>
      </c>
      <c r="D245" s="34"/>
      <c r="E245" s="253" t="s">
        <v>308</v>
      </c>
      <c r="F245" s="494">
        <f>F246+F250+F252+F254</f>
        <v>69892.200000000012</v>
      </c>
      <c r="G245" s="494">
        <f>G246+G250+G252+G254+G256</f>
        <v>-4209.0690000000004</v>
      </c>
      <c r="H245" s="494">
        <f>H246+H250+H252+H254+H256</f>
        <v>65683.130999999994</v>
      </c>
      <c r="I245" s="247">
        <f>I246+I250</f>
        <v>20083.900000000001</v>
      </c>
      <c r="J245" s="247"/>
      <c r="K245" s="247">
        <f>K246+K250</f>
        <v>20083.900000000001</v>
      </c>
      <c r="L245" s="247">
        <f>L246+L250</f>
        <v>22026.7</v>
      </c>
      <c r="M245" s="247"/>
      <c r="N245" s="247">
        <f>N246+N250</f>
        <v>22026.7</v>
      </c>
    </row>
    <row r="246" spans="1:14" x14ac:dyDescent="0.25">
      <c r="A246" s="225"/>
      <c r="B246" s="27"/>
      <c r="C246" s="248" t="s">
        <v>309</v>
      </c>
      <c r="D246" s="7"/>
      <c r="E246" s="264" t="s">
        <v>310</v>
      </c>
      <c r="F246" s="472">
        <f>F247</f>
        <v>64189.200000000004</v>
      </c>
      <c r="G246" s="473">
        <f>G247</f>
        <v>-4530.8990000000003</v>
      </c>
      <c r="H246" s="472">
        <f>H247</f>
        <v>59658.300999999999</v>
      </c>
      <c r="I246" s="29">
        <f>I247</f>
        <v>20083.900000000001</v>
      </c>
      <c r="J246" s="29"/>
      <c r="K246" s="29">
        <f>K247</f>
        <v>20083.900000000001</v>
      </c>
      <c r="L246" s="29">
        <f>L247</f>
        <v>22026.7</v>
      </c>
      <c r="M246" s="29"/>
      <c r="N246" s="29">
        <f>N247</f>
        <v>22026.7</v>
      </c>
    </row>
    <row r="247" spans="1:14" ht="25.5" x14ac:dyDescent="0.25">
      <c r="A247" s="225"/>
      <c r="B247" s="27"/>
      <c r="C247" s="248"/>
      <c r="D247" s="27" t="s">
        <v>17</v>
      </c>
      <c r="E247" s="30" t="s">
        <v>18</v>
      </c>
      <c r="F247" s="472">
        <f>F248+F249</f>
        <v>64189.200000000004</v>
      </c>
      <c r="G247" s="473">
        <f>G248+G249</f>
        <v>-4530.8990000000003</v>
      </c>
      <c r="H247" s="472">
        <f>H248+H249</f>
        <v>59658.300999999999</v>
      </c>
      <c r="I247" s="29">
        <f>I248+I249</f>
        <v>20083.900000000001</v>
      </c>
      <c r="J247" s="29"/>
      <c r="K247" s="29">
        <f>K248+K249</f>
        <v>20083.900000000001</v>
      </c>
      <c r="L247" s="29">
        <f>L248+L249</f>
        <v>22026.7</v>
      </c>
      <c r="M247" s="29"/>
      <c r="N247" s="29">
        <f>N248+N249</f>
        <v>22026.7</v>
      </c>
    </row>
    <row r="248" spans="1:14" x14ac:dyDescent="0.25">
      <c r="A248" s="225"/>
      <c r="B248" s="27"/>
      <c r="C248" s="248"/>
      <c r="D248" s="27"/>
      <c r="E248" s="28" t="s">
        <v>87</v>
      </c>
      <c r="F248" s="476">
        <v>57770.3</v>
      </c>
      <c r="G248" s="473">
        <v>-4209.0910000000003</v>
      </c>
      <c r="H248" s="476">
        <f>SUM(F248:G248)</f>
        <v>53561.209000000003</v>
      </c>
      <c r="I248" s="38">
        <v>18075.5</v>
      </c>
      <c r="J248" s="38"/>
      <c r="K248" s="38">
        <v>18075.5</v>
      </c>
      <c r="L248" s="38">
        <v>19824</v>
      </c>
      <c r="M248" s="38"/>
      <c r="N248" s="38">
        <v>19824</v>
      </c>
    </row>
    <row r="249" spans="1:14" x14ac:dyDescent="0.25">
      <c r="A249" s="229"/>
      <c r="B249" s="27"/>
      <c r="C249" s="248"/>
      <c r="D249" s="27"/>
      <c r="E249" s="28" t="s">
        <v>146</v>
      </c>
      <c r="F249" s="476">
        <v>6418.9</v>
      </c>
      <c r="G249" s="473">
        <f>0.022-467.679+145.849</f>
        <v>-321.80799999999999</v>
      </c>
      <c r="H249" s="476">
        <f>SUM(F249:G249)</f>
        <v>6097.0919999999996</v>
      </c>
      <c r="I249" s="38">
        <v>2008.4</v>
      </c>
      <c r="J249" s="38"/>
      <c r="K249" s="38">
        <v>2008.4</v>
      </c>
      <c r="L249" s="38">
        <v>2202.6999999999998</v>
      </c>
      <c r="M249" s="38"/>
      <c r="N249" s="38">
        <v>2202.6999999999998</v>
      </c>
    </row>
    <row r="250" spans="1:14" x14ac:dyDescent="0.25">
      <c r="A250" s="225"/>
      <c r="B250" s="27"/>
      <c r="C250" s="248" t="s">
        <v>311</v>
      </c>
      <c r="D250" s="7"/>
      <c r="E250" s="28" t="s">
        <v>312</v>
      </c>
      <c r="F250" s="472">
        <f>F251</f>
        <v>4083</v>
      </c>
      <c r="G250" s="473"/>
      <c r="H250" s="472">
        <f>H251</f>
        <v>4083</v>
      </c>
      <c r="I250" s="29">
        <f>I251</f>
        <v>0</v>
      </c>
      <c r="J250" s="29"/>
      <c r="K250" s="29">
        <f>K251</f>
        <v>0</v>
      </c>
      <c r="L250" s="29">
        <f>L251</f>
        <v>0</v>
      </c>
      <c r="M250" s="29"/>
      <c r="N250" s="29">
        <f>N251</f>
        <v>0</v>
      </c>
    </row>
    <row r="251" spans="1:14" ht="25.5" x14ac:dyDescent="0.25">
      <c r="A251" s="225"/>
      <c r="B251" s="27"/>
      <c r="C251" s="248"/>
      <c r="D251" s="27" t="s">
        <v>17</v>
      </c>
      <c r="E251" s="28" t="s">
        <v>18</v>
      </c>
      <c r="F251" s="472">
        <v>4083</v>
      </c>
      <c r="G251" s="472"/>
      <c r="H251" s="472">
        <v>4083</v>
      </c>
      <c r="I251" s="29">
        <v>0</v>
      </c>
      <c r="J251" s="29"/>
      <c r="K251" s="29">
        <v>0</v>
      </c>
      <c r="L251" s="29">
        <v>0</v>
      </c>
      <c r="M251" s="29"/>
      <c r="N251" s="29">
        <v>0</v>
      </c>
    </row>
    <row r="252" spans="1:14" ht="28.5" customHeight="1" x14ac:dyDescent="0.25">
      <c r="A252" s="225"/>
      <c r="B252" s="27"/>
      <c r="C252" s="46" t="s">
        <v>1079</v>
      </c>
      <c r="D252" s="46"/>
      <c r="E252" s="47" t="s">
        <v>1080</v>
      </c>
      <c r="F252" s="472">
        <v>450</v>
      </c>
      <c r="G252" s="472"/>
      <c r="H252" s="472">
        <v>450</v>
      </c>
      <c r="I252" s="29"/>
      <c r="J252" s="29"/>
      <c r="K252" s="29">
        <v>0</v>
      </c>
      <c r="L252" s="29"/>
      <c r="M252" s="29"/>
      <c r="N252" s="29">
        <v>0</v>
      </c>
    </row>
    <row r="253" spans="1:14" ht="30" customHeight="1" x14ac:dyDescent="0.25">
      <c r="A253" s="225"/>
      <c r="B253" s="27"/>
      <c r="C253" s="46"/>
      <c r="D253" s="46" t="s">
        <v>17</v>
      </c>
      <c r="E253" s="47" t="s">
        <v>18</v>
      </c>
      <c r="F253" s="472">
        <v>450</v>
      </c>
      <c r="G253" s="472"/>
      <c r="H253" s="472">
        <v>450</v>
      </c>
      <c r="I253" s="29"/>
      <c r="J253" s="29"/>
      <c r="K253" s="29">
        <v>0</v>
      </c>
      <c r="L253" s="29"/>
      <c r="M253" s="29"/>
      <c r="N253" s="29">
        <v>0</v>
      </c>
    </row>
    <row r="254" spans="1:14" ht="42" customHeight="1" x14ac:dyDescent="0.25">
      <c r="A254" s="225"/>
      <c r="B254" s="27"/>
      <c r="C254" s="46" t="s">
        <v>1196</v>
      </c>
      <c r="D254" s="46"/>
      <c r="E254" s="47" t="s">
        <v>1197</v>
      </c>
      <c r="F254" s="472">
        <v>1170</v>
      </c>
      <c r="G254" s="472"/>
      <c r="H254" s="472">
        <v>1170</v>
      </c>
      <c r="I254" s="29"/>
      <c r="J254" s="29"/>
      <c r="K254" s="29">
        <v>0</v>
      </c>
      <c r="L254" s="29"/>
      <c r="M254" s="29"/>
      <c r="N254" s="29">
        <v>0</v>
      </c>
    </row>
    <row r="255" spans="1:14" ht="30" customHeight="1" x14ac:dyDescent="0.25">
      <c r="A255" s="225"/>
      <c r="B255" s="27"/>
      <c r="C255" s="46"/>
      <c r="D255" s="46" t="s">
        <v>17</v>
      </c>
      <c r="E255" s="47" t="s">
        <v>18</v>
      </c>
      <c r="F255" s="472">
        <v>1170</v>
      </c>
      <c r="G255" s="472"/>
      <c r="H255" s="472">
        <v>1170</v>
      </c>
      <c r="I255" s="29"/>
      <c r="J255" s="29"/>
      <c r="K255" s="29">
        <v>0</v>
      </c>
      <c r="L255" s="29"/>
      <c r="M255" s="29"/>
      <c r="N255" s="29">
        <v>0</v>
      </c>
    </row>
    <row r="256" spans="1:14" ht="30" customHeight="1" x14ac:dyDescent="0.25">
      <c r="A256" s="225"/>
      <c r="B256" s="27"/>
      <c r="C256" s="248" t="s">
        <v>1303</v>
      </c>
      <c r="D256" s="46"/>
      <c r="E256" s="47" t="s">
        <v>1302</v>
      </c>
      <c r="F256" s="472"/>
      <c r="G256" s="29">
        <f>G257</f>
        <v>321.83</v>
      </c>
      <c r="H256" s="29">
        <f>H257</f>
        <v>321.83</v>
      </c>
      <c r="I256" s="29"/>
      <c r="J256" s="29"/>
      <c r="K256" s="29"/>
      <c r="L256" s="29"/>
      <c r="M256" s="29"/>
      <c r="N256" s="29"/>
    </row>
    <row r="257" spans="1:14" ht="30" customHeight="1" x14ac:dyDescent="0.25">
      <c r="A257" s="225"/>
      <c r="B257" s="27"/>
      <c r="C257" s="46"/>
      <c r="D257" s="46" t="s">
        <v>17</v>
      </c>
      <c r="E257" s="47" t="s">
        <v>18</v>
      </c>
      <c r="F257" s="472"/>
      <c r="G257" s="29">
        <v>321.83</v>
      </c>
      <c r="H257" s="29">
        <f>G257</f>
        <v>321.83</v>
      </c>
      <c r="I257" s="29"/>
      <c r="J257" s="29"/>
      <c r="K257" s="29"/>
      <c r="L257" s="29"/>
      <c r="M257" s="29"/>
      <c r="N257" s="29"/>
    </row>
    <row r="258" spans="1:14" x14ac:dyDescent="0.25">
      <c r="A258" s="254"/>
      <c r="B258" s="255"/>
      <c r="C258" s="245" t="s">
        <v>313</v>
      </c>
      <c r="D258" s="34"/>
      <c r="E258" s="253" t="s">
        <v>314</v>
      </c>
      <c r="F258" s="494">
        <f t="shared" ref="F258:N259" si="42">F259</f>
        <v>25743.9</v>
      </c>
      <c r="G258" s="494"/>
      <c r="H258" s="494">
        <f t="shared" si="42"/>
        <v>25743.9</v>
      </c>
      <c r="I258" s="247">
        <f t="shared" si="42"/>
        <v>26343.9</v>
      </c>
      <c r="J258" s="247"/>
      <c r="K258" s="247">
        <f t="shared" si="42"/>
        <v>26343.9</v>
      </c>
      <c r="L258" s="247">
        <f t="shared" si="42"/>
        <v>26343.9</v>
      </c>
      <c r="M258" s="247"/>
      <c r="N258" s="247">
        <f t="shared" si="42"/>
        <v>26343.9</v>
      </c>
    </row>
    <row r="259" spans="1:14" x14ac:dyDescent="0.25">
      <c r="A259" s="229"/>
      <c r="B259" s="27"/>
      <c r="C259" s="248" t="s">
        <v>315</v>
      </c>
      <c r="D259" s="7"/>
      <c r="E259" s="30" t="s">
        <v>867</v>
      </c>
      <c r="F259" s="472">
        <f t="shared" si="42"/>
        <v>25743.9</v>
      </c>
      <c r="G259" s="472"/>
      <c r="H259" s="472">
        <f t="shared" si="42"/>
        <v>25743.9</v>
      </c>
      <c r="I259" s="29">
        <f t="shared" si="42"/>
        <v>26343.9</v>
      </c>
      <c r="J259" s="29"/>
      <c r="K259" s="29">
        <f t="shared" si="42"/>
        <v>26343.9</v>
      </c>
      <c r="L259" s="29">
        <f t="shared" si="42"/>
        <v>26343.9</v>
      </c>
      <c r="M259" s="29"/>
      <c r="N259" s="29">
        <f t="shared" si="42"/>
        <v>26343.9</v>
      </c>
    </row>
    <row r="260" spans="1:14" ht="25.5" x14ac:dyDescent="0.25">
      <c r="A260" s="229"/>
      <c r="B260" s="27"/>
      <c r="C260" s="248"/>
      <c r="D260" s="27" t="s">
        <v>17</v>
      </c>
      <c r="E260" s="30" t="s">
        <v>18</v>
      </c>
      <c r="F260" s="472">
        <v>25743.9</v>
      </c>
      <c r="G260" s="472"/>
      <c r="H260" s="472">
        <v>25743.9</v>
      </c>
      <c r="I260" s="29">
        <v>26343.9</v>
      </c>
      <c r="J260" s="29"/>
      <c r="K260" s="29">
        <v>26343.9</v>
      </c>
      <c r="L260" s="29">
        <v>26343.9</v>
      </c>
      <c r="M260" s="29"/>
      <c r="N260" s="29">
        <v>26343.9</v>
      </c>
    </row>
    <row r="261" spans="1:14" ht="38.25" x14ac:dyDescent="0.25">
      <c r="A261" s="294"/>
      <c r="B261" s="287"/>
      <c r="C261" s="288" t="s">
        <v>321</v>
      </c>
      <c r="D261" s="287"/>
      <c r="E261" s="295" t="s">
        <v>322</v>
      </c>
      <c r="F261" s="493">
        <f t="shared" ref="F261:N263" si="43">F262</f>
        <v>264.5</v>
      </c>
      <c r="G261" s="493"/>
      <c r="H261" s="493">
        <f t="shared" si="43"/>
        <v>264.5</v>
      </c>
      <c r="I261" s="290">
        <f t="shared" si="43"/>
        <v>200</v>
      </c>
      <c r="J261" s="290"/>
      <c r="K261" s="290">
        <f t="shared" si="43"/>
        <v>200</v>
      </c>
      <c r="L261" s="290">
        <f t="shared" si="43"/>
        <v>200</v>
      </c>
      <c r="M261" s="290"/>
      <c r="N261" s="290">
        <f t="shared" si="43"/>
        <v>200</v>
      </c>
    </row>
    <row r="262" spans="1:14" ht="25.5" x14ac:dyDescent="0.25">
      <c r="A262" s="244"/>
      <c r="B262" s="255"/>
      <c r="C262" s="265" t="s">
        <v>323</v>
      </c>
      <c r="D262" s="255"/>
      <c r="E262" s="296" t="s">
        <v>324</v>
      </c>
      <c r="F262" s="497">
        <f t="shared" si="43"/>
        <v>264.5</v>
      </c>
      <c r="G262" s="497"/>
      <c r="H262" s="497">
        <f t="shared" si="43"/>
        <v>264.5</v>
      </c>
      <c r="I262" s="256">
        <f t="shared" si="43"/>
        <v>200</v>
      </c>
      <c r="J262" s="256"/>
      <c r="K262" s="256">
        <f t="shared" si="43"/>
        <v>200</v>
      </c>
      <c r="L262" s="256">
        <f t="shared" si="43"/>
        <v>200</v>
      </c>
      <c r="M262" s="256"/>
      <c r="N262" s="256">
        <f t="shared" si="43"/>
        <v>200</v>
      </c>
    </row>
    <row r="263" spans="1:14" ht="38.25" x14ac:dyDescent="0.25">
      <c r="A263" s="229"/>
      <c r="B263" s="27"/>
      <c r="C263" s="248" t="s">
        <v>325</v>
      </c>
      <c r="D263" s="27"/>
      <c r="E263" s="30" t="s">
        <v>326</v>
      </c>
      <c r="F263" s="472">
        <f t="shared" si="43"/>
        <v>264.5</v>
      </c>
      <c r="G263" s="472"/>
      <c r="H263" s="472">
        <f t="shared" si="43"/>
        <v>264.5</v>
      </c>
      <c r="I263" s="29">
        <f t="shared" si="43"/>
        <v>200</v>
      </c>
      <c r="J263" s="29"/>
      <c r="K263" s="29">
        <f t="shared" si="43"/>
        <v>200</v>
      </c>
      <c r="L263" s="29">
        <f t="shared" si="43"/>
        <v>200</v>
      </c>
      <c r="M263" s="29"/>
      <c r="N263" s="29">
        <f t="shared" si="43"/>
        <v>200</v>
      </c>
    </row>
    <row r="264" spans="1:14" ht="25.5" x14ac:dyDescent="0.25">
      <c r="A264" s="225"/>
      <c r="B264" s="27"/>
      <c r="C264" s="248"/>
      <c r="D264" s="27" t="s">
        <v>17</v>
      </c>
      <c r="E264" s="28" t="s">
        <v>18</v>
      </c>
      <c r="F264" s="472">
        <v>264.5</v>
      </c>
      <c r="G264" s="472"/>
      <c r="H264" s="472">
        <v>264.5</v>
      </c>
      <c r="I264" s="29">
        <v>200</v>
      </c>
      <c r="J264" s="29"/>
      <c r="K264" s="29">
        <v>200</v>
      </c>
      <c r="L264" s="29">
        <v>200</v>
      </c>
      <c r="M264" s="29"/>
      <c r="N264" s="29">
        <v>200</v>
      </c>
    </row>
    <row r="265" spans="1:14" x14ac:dyDescent="0.25">
      <c r="A265" s="225"/>
      <c r="B265" s="7" t="s">
        <v>868</v>
      </c>
      <c r="C265" s="248"/>
      <c r="D265" s="225"/>
      <c r="E265" s="231" t="s">
        <v>869</v>
      </c>
      <c r="F265" s="491">
        <f t="shared" ref="F265:L265" si="44">F266+F296</f>
        <v>8224.7000000000007</v>
      </c>
      <c r="G265" s="491">
        <f t="shared" si="44"/>
        <v>-568.47900000000004</v>
      </c>
      <c r="H265" s="491">
        <f t="shared" si="44"/>
        <v>7656.2209999999995</v>
      </c>
      <c r="I265" s="232">
        <f t="shared" si="44"/>
        <v>6567.7000000000007</v>
      </c>
      <c r="J265" s="232">
        <f t="shared" si="44"/>
        <v>0</v>
      </c>
      <c r="K265" s="232">
        <f t="shared" si="44"/>
        <v>6567.7000000000007</v>
      </c>
      <c r="L265" s="232">
        <f t="shared" si="44"/>
        <v>5956.6</v>
      </c>
      <c r="M265" s="232"/>
      <c r="N265" s="232">
        <f>N266+N296</f>
        <v>5956.6</v>
      </c>
    </row>
    <row r="266" spans="1:14" ht="25.5" x14ac:dyDescent="0.25">
      <c r="A266" s="225"/>
      <c r="B266" s="7"/>
      <c r="C266" s="230" t="s">
        <v>9</v>
      </c>
      <c r="D266" s="229"/>
      <c r="E266" s="233" t="s">
        <v>10</v>
      </c>
      <c r="F266" s="502">
        <f t="shared" ref="F266:L266" si="45">F274+F278+F267</f>
        <v>5420.6</v>
      </c>
      <c r="G266" s="502">
        <f t="shared" si="45"/>
        <v>-568.47900000000004</v>
      </c>
      <c r="H266" s="502">
        <f t="shared" si="45"/>
        <v>4852.1210000000001</v>
      </c>
      <c r="I266" s="297">
        <f t="shared" si="45"/>
        <v>3811.1</v>
      </c>
      <c r="J266" s="297">
        <f t="shared" si="45"/>
        <v>0</v>
      </c>
      <c r="K266" s="297">
        <f t="shared" si="45"/>
        <v>3811.1</v>
      </c>
      <c r="L266" s="297">
        <f t="shared" si="45"/>
        <v>3200</v>
      </c>
      <c r="M266" s="297"/>
      <c r="N266" s="297">
        <f>N274+N278+N267</f>
        <v>3200</v>
      </c>
    </row>
    <row r="267" spans="1:14" ht="26.25" x14ac:dyDescent="0.25">
      <c r="A267" s="260"/>
      <c r="B267" s="235"/>
      <c r="C267" s="298" t="s">
        <v>189</v>
      </c>
      <c r="D267" s="234"/>
      <c r="E267" s="5" t="s">
        <v>1109</v>
      </c>
      <c r="F267" s="503">
        <f t="shared" ref="F267:N269" si="46">F268</f>
        <v>891.9</v>
      </c>
      <c r="G267" s="503">
        <f t="shared" si="46"/>
        <v>-68.5</v>
      </c>
      <c r="H267" s="503">
        <f t="shared" si="46"/>
        <v>823.4</v>
      </c>
      <c r="I267" s="299">
        <f t="shared" si="46"/>
        <v>0</v>
      </c>
      <c r="J267" s="299"/>
      <c r="K267" s="299">
        <f t="shared" si="46"/>
        <v>0</v>
      </c>
      <c r="L267" s="299">
        <f t="shared" si="46"/>
        <v>900</v>
      </c>
      <c r="M267" s="299"/>
      <c r="N267" s="299">
        <f t="shared" si="46"/>
        <v>900</v>
      </c>
    </row>
    <row r="268" spans="1:14" ht="25.5" x14ac:dyDescent="0.25">
      <c r="A268" s="254"/>
      <c r="B268" s="34"/>
      <c r="C268" s="245" t="s">
        <v>731</v>
      </c>
      <c r="D268" s="34"/>
      <c r="E268" s="253" t="s">
        <v>190</v>
      </c>
      <c r="F268" s="494">
        <f>F269+F272</f>
        <v>891.9</v>
      </c>
      <c r="G268" s="494">
        <f>G269+G272</f>
        <v>-68.5</v>
      </c>
      <c r="H268" s="494">
        <f>H269+H272</f>
        <v>823.4</v>
      </c>
      <c r="I268" s="247">
        <f t="shared" si="46"/>
        <v>0</v>
      </c>
      <c r="J268" s="247"/>
      <c r="K268" s="247">
        <f t="shared" si="46"/>
        <v>0</v>
      </c>
      <c r="L268" s="247">
        <f t="shared" si="46"/>
        <v>900</v>
      </c>
      <c r="M268" s="247"/>
      <c r="N268" s="247">
        <f t="shared" si="46"/>
        <v>900</v>
      </c>
    </row>
    <row r="269" spans="1:14" ht="38.25" x14ac:dyDescent="0.25">
      <c r="A269" s="225"/>
      <c r="B269" s="27"/>
      <c r="C269" s="248" t="s">
        <v>732</v>
      </c>
      <c r="D269" s="27"/>
      <c r="E269" s="28" t="s">
        <v>441</v>
      </c>
      <c r="F269" s="472">
        <f t="shared" si="46"/>
        <v>891.9</v>
      </c>
      <c r="G269" s="473">
        <f>SUM(G270:G271)</f>
        <v>-68.5</v>
      </c>
      <c r="H269" s="472">
        <f>H270+H271</f>
        <v>823.4</v>
      </c>
      <c r="I269" s="29">
        <f t="shared" si="46"/>
        <v>0</v>
      </c>
      <c r="J269" s="29"/>
      <c r="K269" s="29">
        <f t="shared" si="46"/>
        <v>0</v>
      </c>
      <c r="L269" s="29">
        <f t="shared" si="46"/>
        <v>900</v>
      </c>
      <c r="M269" s="29"/>
      <c r="N269" s="29">
        <f t="shared" si="46"/>
        <v>900</v>
      </c>
    </row>
    <row r="270" spans="1:14" ht="25.5" x14ac:dyDescent="0.25">
      <c r="A270" s="225"/>
      <c r="B270" s="27"/>
      <c r="C270" s="248"/>
      <c r="D270" s="27" t="s">
        <v>17</v>
      </c>
      <c r="E270" s="28" t="s">
        <v>18</v>
      </c>
      <c r="F270" s="472">
        <v>891.9</v>
      </c>
      <c r="G270" s="473">
        <f>-25.7-68.5</f>
        <v>-94.2</v>
      </c>
      <c r="H270" s="472">
        <f>SUM(F270:G270)</f>
        <v>797.69999999999993</v>
      </c>
      <c r="I270" s="29">
        <v>0</v>
      </c>
      <c r="J270" s="29"/>
      <c r="K270" s="29">
        <v>0</v>
      </c>
      <c r="L270" s="29">
        <v>900</v>
      </c>
      <c r="M270" s="29"/>
      <c r="N270" s="29">
        <v>900</v>
      </c>
    </row>
    <row r="271" spans="1:14" x14ac:dyDescent="0.25">
      <c r="A271" s="225"/>
      <c r="B271" s="27"/>
      <c r="C271" s="248"/>
      <c r="D271" s="27" t="s">
        <v>32</v>
      </c>
      <c r="E271" s="30" t="s">
        <v>33</v>
      </c>
      <c r="F271" s="472"/>
      <c r="G271" s="473">
        <v>25.7</v>
      </c>
      <c r="H271" s="472">
        <f>SUM(F271:G271)</f>
        <v>25.7</v>
      </c>
      <c r="I271" s="29"/>
      <c r="J271" s="29"/>
      <c r="K271" s="29"/>
      <c r="L271" s="29"/>
      <c r="M271" s="29"/>
      <c r="N271" s="29"/>
    </row>
    <row r="272" spans="1:14" ht="25.5" x14ac:dyDescent="0.25">
      <c r="A272" s="225"/>
      <c r="B272" s="27"/>
      <c r="C272" s="27" t="s">
        <v>1066</v>
      </c>
      <c r="D272" s="27"/>
      <c r="E272" s="28" t="s">
        <v>1077</v>
      </c>
      <c r="F272" s="472">
        <v>0</v>
      </c>
      <c r="G272" s="472"/>
      <c r="H272" s="472">
        <v>0</v>
      </c>
      <c r="I272" s="29"/>
      <c r="J272" s="29"/>
      <c r="K272" s="29">
        <v>0</v>
      </c>
      <c r="L272" s="29"/>
      <c r="M272" s="29"/>
      <c r="N272" s="29">
        <v>0</v>
      </c>
    </row>
    <row r="273" spans="1:14" ht="25.5" x14ac:dyDescent="0.25">
      <c r="A273" s="225"/>
      <c r="B273" s="27"/>
      <c r="C273" s="27"/>
      <c r="D273" s="27" t="s">
        <v>186</v>
      </c>
      <c r="E273" s="28" t="s">
        <v>187</v>
      </c>
      <c r="F273" s="472">
        <v>0</v>
      </c>
      <c r="G273" s="472"/>
      <c r="H273" s="472">
        <v>0</v>
      </c>
      <c r="I273" s="29"/>
      <c r="J273" s="29"/>
      <c r="K273" s="29">
        <v>0</v>
      </c>
      <c r="L273" s="29"/>
      <c r="M273" s="29"/>
      <c r="N273" s="29">
        <v>0</v>
      </c>
    </row>
    <row r="274" spans="1:14" ht="25.5" x14ac:dyDescent="0.25">
      <c r="A274" s="260"/>
      <c r="B274" s="235"/>
      <c r="C274" s="236" t="s">
        <v>259</v>
      </c>
      <c r="D274" s="235"/>
      <c r="E274" s="237" t="s">
        <v>1111</v>
      </c>
      <c r="F274" s="492">
        <f>F275</f>
        <v>100</v>
      </c>
      <c r="G274" s="492"/>
      <c r="H274" s="492">
        <f>H275</f>
        <v>100</v>
      </c>
      <c r="I274" s="238">
        <f t="shared" ref="I274:N274" si="47">I275</f>
        <v>0</v>
      </c>
      <c r="J274" s="238"/>
      <c r="K274" s="238">
        <f t="shared" si="47"/>
        <v>0</v>
      </c>
      <c r="L274" s="238">
        <f t="shared" si="47"/>
        <v>0</v>
      </c>
      <c r="M274" s="238"/>
      <c r="N274" s="238">
        <f t="shared" si="47"/>
        <v>0</v>
      </c>
    </row>
    <row r="275" spans="1:14" ht="38.25" x14ac:dyDescent="0.25">
      <c r="A275" s="254"/>
      <c r="B275" s="255"/>
      <c r="C275" s="245" t="s">
        <v>978</v>
      </c>
      <c r="D275" s="255"/>
      <c r="E275" s="246" t="s">
        <v>980</v>
      </c>
      <c r="F275" s="494">
        <f t="shared" ref="F275:N276" si="48">F276</f>
        <v>100</v>
      </c>
      <c r="G275" s="494"/>
      <c r="H275" s="494">
        <f t="shared" si="48"/>
        <v>100</v>
      </c>
      <c r="I275" s="247">
        <f t="shared" si="48"/>
        <v>0</v>
      </c>
      <c r="J275" s="247"/>
      <c r="K275" s="247">
        <f t="shared" si="48"/>
        <v>0</v>
      </c>
      <c r="L275" s="247">
        <f t="shared" si="48"/>
        <v>0</v>
      </c>
      <c r="M275" s="247"/>
      <c r="N275" s="247">
        <f t="shared" si="48"/>
        <v>0</v>
      </c>
    </row>
    <row r="276" spans="1:14" ht="26.25" x14ac:dyDescent="0.25">
      <c r="A276" s="225"/>
      <c r="B276" s="27"/>
      <c r="C276" s="157" t="s">
        <v>979</v>
      </c>
      <c r="D276" s="157"/>
      <c r="E276" s="198" t="s">
        <v>981</v>
      </c>
      <c r="F276" s="472">
        <f t="shared" si="48"/>
        <v>100</v>
      </c>
      <c r="G276" s="472"/>
      <c r="H276" s="472">
        <f t="shared" si="48"/>
        <v>100</v>
      </c>
      <c r="I276" s="29">
        <f t="shared" si="48"/>
        <v>0</v>
      </c>
      <c r="J276" s="29"/>
      <c r="K276" s="29">
        <f t="shared" si="48"/>
        <v>0</v>
      </c>
      <c r="L276" s="29">
        <f t="shared" si="48"/>
        <v>0</v>
      </c>
      <c r="M276" s="29"/>
      <c r="N276" s="29">
        <f t="shared" si="48"/>
        <v>0</v>
      </c>
    </row>
    <row r="277" spans="1:14" x14ac:dyDescent="0.25">
      <c r="A277" s="229"/>
      <c r="B277" s="27"/>
      <c r="C277" s="157"/>
      <c r="D277" s="157" t="s">
        <v>17</v>
      </c>
      <c r="E277" s="207" t="s">
        <v>33</v>
      </c>
      <c r="F277" s="473">
        <v>100</v>
      </c>
      <c r="G277" s="473"/>
      <c r="H277" s="473">
        <v>100</v>
      </c>
      <c r="I277" s="8">
        <v>0</v>
      </c>
      <c r="J277" s="8"/>
      <c r="K277" s="8">
        <v>0</v>
      </c>
      <c r="L277" s="8">
        <v>0</v>
      </c>
      <c r="M277" s="8"/>
      <c r="N277" s="8">
        <v>0</v>
      </c>
    </row>
    <row r="278" spans="1:14" ht="38.25" x14ac:dyDescent="0.25">
      <c r="A278" s="234"/>
      <c r="B278" s="235"/>
      <c r="C278" s="236" t="s">
        <v>365</v>
      </c>
      <c r="D278" s="261"/>
      <c r="E278" s="237" t="s">
        <v>1126</v>
      </c>
      <c r="F278" s="492">
        <f>F293+F279</f>
        <v>4428.7000000000007</v>
      </c>
      <c r="G278" s="492">
        <f>G293+G279</f>
        <v>-499.97899999999998</v>
      </c>
      <c r="H278" s="492">
        <f>H293+H279</f>
        <v>3928.7210000000005</v>
      </c>
      <c r="I278" s="238">
        <f>I293+I279</f>
        <v>3811.1</v>
      </c>
      <c r="J278" s="238"/>
      <c r="K278" s="238">
        <f>K293+K279</f>
        <v>3811.1</v>
      </c>
      <c r="L278" s="238">
        <f>L293+L279</f>
        <v>2300</v>
      </c>
      <c r="M278" s="238"/>
      <c r="N278" s="238">
        <f>N293+N279</f>
        <v>2300</v>
      </c>
    </row>
    <row r="279" spans="1:14" x14ac:dyDescent="0.25">
      <c r="A279" s="244"/>
      <c r="B279" s="34"/>
      <c r="C279" s="245" t="s">
        <v>366</v>
      </c>
      <c r="D279" s="255"/>
      <c r="E279" s="246" t="s">
        <v>367</v>
      </c>
      <c r="F279" s="494">
        <f>F280+F287+F282+F291</f>
        <v>4178.7000000000007</v>
      </c>
      <c r="G279" s="494">
        <f>G280+G287+G282+G291</f>
        <v>-499.97899999999998</v>
      </c>
      <c r="H279" s="494">
        <f>H280+H287+H282+H291</f>
        <v>3678.7210000000005</v>
      </c>
      <c r="I279" s="247">
        <f>I280+I287</f>
        <v>3811.1</v>
      </c>
      <c r="J279" s="247"/>
      <c r="K279" s="247">
        <f>K280+K287</f>
        <v>3811.1</v>
      </c>
      <c r="L279" s="247">
        <f>L280+L287</f>
        <v>2000</v>
      </c>
      <c r="M279" s="247"/>
      <c r="N279" s="247">
        <f>N280+N287</f>
        <v>2000</v>
      </c>
    </row>
    <row r="280" spans="1:14" x14ac:dyDescent="0.25">
      <c r="A280" s="229"/>
      <c r="B280" s="300"/>
      <c r="C280" s="248" t="s">
        <v>471</v>
      </c>
      <c r="D280" s="27"/>
      <c r="E280" s="28" t="s">
        <v>740</v>
      </c>
      <c r="F280" s="472">
        <f>F281</f>
        <v>1083.9000000000001</v>
      </c>
      <c r="G280" s="473">
        <f>G281</f>
        <v>-500</v>
      </c>
      <c r="H280" s="472">
        <f>H281</f>
        <v>583.90000000000009</v>
      </c>
      <c r="I280" s="29">
        <f>I281</f>
        <v>500</v>
      </c>
      <c r="J280" s="29"/>
      <c r="K280" s="29">
        <f>K281</f>
        <v>500</v>
      </c>
      <c r="L280" s="29">
        <f>L281</f>
        <v>1000</v>
      </c>
      <c r="M280" s="29"/>
      <c r="N280" s="29">
        <f>N281</f>
        <v>1000</v>
      </c>
    </row>
    <row r="281" spans="1:14" ht="25.5" x14ac:dyDescent="0.25">
      <c r="A281" s="225"/>
      <c r="B281" s="300"/>
      <c r="C281" s="248"/>
      <c r="D281" s="27" t="s">
        <v>17</v>
      </c>
      <c r="E281" s="28" t="s">
        <v>18</v>
      </c>
      <c r="F281" s="472">
        <v>1083.9000000000001</v>
      </c>
      <c r="G281" s="473">
        <v>-500</v>
      </c>
      <c r="H281" s="472">
        <f>SUM(F281:G281)</f>
        <v>583.90000000000009</v>
      </c>
      <c r="I281" s="29">
        <v>500</v>
      </c>
      <c r="J281" s="29"/>
      <c r="K281" s="29">
        <v>500</v>
      </c>
      <c r="L281" s="29">
        <v>1000</v>
      </c>
      <c r="M281" s="29"/>
      <c r="N281" s="29">
        <v>1000</v>
      </c>
    </row>
    <row r="282" spans="1:14" x14ac:dyDescent="0.25">
      <c r="A282" s="225"/>
      <c r="B282" s="300"/>
      <c r="C282" s="157" t="s">
        <v>1084</v>
      </c>
      <c r="D282" s="157"/>
      <c r="E282" s="159" t="s">
        <v>1085</v>
      </c>
      <c r="F282" s="469">
        <f>F283</f>
        <v>107.1</v>
      </c>
      <c r="G282" s="470">
        <f>G283</f>
        <v>0</v>
      </c>
      <c r="H282" s="469">
        <f>H283</f>
        <v>107.1</v>
      </c>
      <c r="I282" s="29"/>
      <c r="J282" s="29"/>
      <c r="K282" s="29">
        <v>0</v>
      </c>
      <c r="L282" s="29"/>
      <c r="M282" s="29"/>
      <c r="N282" s="29">
        <v>0</v>
      </c>
    </row>
    <row r="283" spans="1:14" ht="26.25" x14ac:dyDescent="0.25">
      <c r="A283" s="225"/>
      <c r="B283" s="300"/>
      <c r="C283" s="157"/>
      <c r="D283" s="157" t="s">
        <v>17</v>
      </c>
      <c r="E283" s="159" t="s">
        <v>18</v>
      </c>
      <c r="F283" s="469">
        <f>F284+F285+F286</f>
        <v>107.1</v>
      </c>
      <c r="G283" s="470">
        <f>G284+G285+G286</f>
        <v>0</v>
      </c>
      <c r="H283" s="469">
        <f>H284+H285+H286</f>
        <v>107.1</v>
      </c>
      <c r="I283" s="29"/>
      <c r="J283" s="29"/>
      <c r="K283" s="29">
        <v>0</v>
      </c>
      <c r="L283" s="29"/>
      <c r="M283" s="29"/>
      <c r="N283" s="29">
        <v>0</v>
      </c>
    </row>
    <row r="284" spans="1:14" x14ac:dyDescent="0.25">
      <c r="A284" s="225"/>
      <c r="B284" s="300"/>
      <c r="C284" s="157"/>
      <c r="D284" s="157"/>
      <c r="E284" s="205" t="s">
        <v>1086</v>
      </c>
      <c r="F284" s="469">
        <v>61.5</v>
      </c>
      <c r="G284" s="470">
        <v>2.5000000000000001E-2</v>
      </c>
      <c r="H284" s="469">
        <f t="shared" ref="H284:H285" si="49">SUM(F284:G284)</f>
        <v>61.524999999999999</v>
      </c>
      <c r="I284" s="29"/>
      <c r="J284" s="29"/>
      <c r="K284" s="29">
        <v>0</v>
      </c>
      <c r="L284" s="29"/>
      <c r="M284" s="29"/>
      <c r="N284" s="29">
        <v>0</v>
      </c>
    </row>
    <row r="285" spans="1:14" x14ac:dyDescent="0.25">
      <c r="A285" s="225"/>
      <c r="B285" s="300"/>
      <c r="C285" s="157"/>
      <c r="D285" s="157"/>
      <c r="E285" s="205" t="s">
        <v>191</v>
      </c>
      <c r="F285" s="469">
        <v>29.5</v>
      </c>
      <c r="G285" s="470">
        <v>0.01</v>
      </c>
      <c r="H285" s="469">
        <f t="shared" si="49"/>
        <v>29.51</v>
      </c>
      <c r="I285" s="29"/>
      <c r="J285" s="29"/>
      <c r="K285" s="29">
        <v>0</v>
      </c>
      <c r="L285" s="29"/>
      <c r="M285" s="29"/>
      <c r="N285" s="29">
        <v>0</v>
      </c>
    </row>
    <row r="286" spans="1:14" x14ac:dyDescent="0.25">
      <c r="A286" s="225"/>
      <c r="B286" s="300"/>
      <c r="C286" s="157"/>
      <c r="D286" s="157"/>
      <c r="E286" s="159" t="s">
        <v>447</v>
      </c>
      <c r="F286" s="469">
        <v>16.100000000000001</v>
      </c>
      <c r="G286" s="470">
        <v>-3.5000000000000003E-2</v>
      </c>
      <c r="H286" s="469">
        <f>SUM(F286:G286)</f>
        <v>16.065000000000001</v>
      </c>
      <c r="I286" s="29"/>
      <c r="J286" s="29"/>
      <c r="K286" s="29">
        <v>0</v>
      </c>
      <c r="L286" s="29"/>
      <c r="M286" s="29"/>
      <c r="N286" s="29">
        <v>0</v>
      </c>
    </row>
    <row r="287" spans="1:14" ht="25.5" x14ac:dyDescent="0.25">
      <c r="A287" s="225"/>
      <c r="B287" s="300"/>
      <c r="C287" s="259" t="s">
        <v>462</v>
      </c>
      <c r="D287" s="27"/>
      <c r="E287" s="28" t="s">
        <v>870</v>
      </c>
      <c r="F287" s="472">
        <f>F288</f>
        <v>2915.7000000000003</v>
      </c>
      <c r="G287" s="473">
        <f>G288</f>
        <v>2.1000000000000005E-2</v>
      </c>
      <c r="H287" s="472">
        <f>H288</f>
        <v>2915.7210000000005</v>
      </c>
      <c r="I287" s="29">
        <f>I288</f>
        <v>3311.1</v>
      </c>
      <c r="J287" s="29"/>
      <c r="K287" s="29">
        <f>K288</f>
        <v>3311.1</v>
      </c>
      <c r="L287" s="29">
        <f>L288</f>
        <v>1000</v>
      </c>
      <c r="M287" s="29"/>
      <c r="N287" s="29">
        <f>N288</f>
        <v>1000</v>
      </c>
    </row>
    <row r="288" spans="1:14" ht="25.5" x14ac:dyDescent="0.25">
      <c r="A288" s="225"/>
      <c r="B288" s="300"/>
      <c r="C288" s="301"/>
      <c r="D288" s="27" t="s">
        <v>17</v>
      </c>
      <c r="E288" s="28" t="s">
        <v>18</v>
      </c>
      <c r="F288" s="476">
        <f>F289+F290</f>
        <v>2915.7000000000003</v>
      </c>
      <c r="G288" s="482">
        <f>G289+G290</f>
        <v>2.1000000000000005E-2</v>
      </c>
      <c r="H288" s="476">
        <f>H289+H290</f>
        <v>2915.7210000000005</v>
      </c>
      <c r="I288" s="38">
        <f>I289+I290</f>
        <v>3311.1</v>
      </c>
      <c r="J288" s="38"/>
      <c r="K288" s="38">
        <f>K289+K290</f>
        <v>3311.1</v>
      </c>
      <c r="L288" s="38">
        <f>L289+L290</f>
        <v>1000</v>
      </c>
      <c r="M288" s="38"/>
      <c r="N288" s="38">
        <f>N289+N290</f>
        <v>1000</v>
      </c>
    </row>
    <row r="289" spans="1:14" x14ac:dyDescent="0.25">
      <c r="A289" s="225"/>
      <c r="B289" s="300"/>
      <c r="C289" s="301"/>
      <c r="D289" s="27"/>
      <c r="E289" s="13" t="s">
        <v>871</v>
      </c>
      <c r="F289" s="472">
        <v>2478.4</v>
      </c>
      <c r="G289" s="470">
        <v>-3.6999999999999998E-2</v>
      </c>
      <c r="H289" s="472">
        <f>SUM(F289:G289)</f>
        <v>2478.3630000000003</v>
      </c>
      <c r="I289" s="29">
        <v>2814.4</v>
      </c>
      <c r="J289" s="29"/>
      <c r="K289" s="29">
        <v>2814.4</v>
      </c>
      <c r="L289" s="29">
        <v>0</v>
      </c>
      <c r="M289" s="29"/>
      <c r="N289" s="29">
        <v>0</v>
      </c>
    </row>
    <row r="290" spans="1:14" x14ac:dyDescent="0.25">
      <c r="A290" s="225"/>
      <c r="B290" s="300"/>
      <c r="C290" s="301"/>
      <c r="D290" s="27"/>
      <c r="E290" s="28" t="s">
        <v>146</v>
      </c>
      <c r="F290" s="476">
        <v>437.3</v>
      </c>
      <c r="G290" s="470">
        <v>5.8000000000000003E-2</v>
      </c>
      <c r="H290" s="472">
        <f>SUM(F290:G290)</f>
        <v>437.358</v>
      </c>
      <c r="I290" s="38">
        <v>496.7</v>
      </c>
      <c r="J290" s="38"/>
      <c r="K290" s="38">
        <v>496.7</v>
      </c>
      <c r="L290" s="38">
        <v>1000</v>
      </c>
      <c r="M290" s="38"/>
      <c r="N290" s="38">
        <v>1000</v>
      </c>
    </row>
    <row r="291" spans="1:14" ht="51.75" x14ac:dyDescent="0.25">
      <c r="A291" s="225"/>
      <c r="B291" s="300"/>
      <c r="C291" s="157" t="s">
        <v>1103</v>
      </c>
      <c r="D291" s="157"/>
      <c r="E291" s="159" t="s">
        <v>1102</v>
      </c>
      <c r="F291" s="472">
        <v>72</v>
      </c>
      <c r="G291" s="479"/>
      <c r="H291" s="472">
        <v>72</v>
      </c>
      <c r="I291" s="38"/>
      <c r="J291" s="38"/>
      <c r="K291" s="29">
        <v>0</v>
      </c>
      <c r="L291" s="29"/>
      <c r="M291" s="29"/>
      <c r="N291" s="29">
        <v>0</v>
      </c>
    </row>
    <row r="292" spans="1:14" ht="26.25" x14ac:dyDescent="0.25">
      <c r="A292" s="225"/>
      <c r="B292" s="300"/>
      <c r="C292" s="157"/>
      <c r="D292" s="157" t="s">
        <v>17</v>
      </c>
      <c r="E292" s="159" t="s">
        <v>18</v>
      </c>
      <c r="F292" s="472">
        <v>72</v>
      </c>
      <c r="G292" s="479"/>
      <c r="H292" s="472">
        <v>72</v>
      </c>
      <c r="I292" s="38"/>
      <c r="J292" s="38"/>
      <c r="K292" s="29">
        <v>0</v>
      </c>
      <c r="L292" s="29"/>
      <c r="M292" s="29"/>
      <c r="N292" s="29">
        <v>0</v>
      </c>
    </row>
    <row r="293" spans="1:14" ht="38.25" x14ac:dyDescent="0.25">
      <c r="A293" s="254"/>
      <c r="B293" s="34"/>
      <c r="C293" s="245" t="s">
        <v>368</v>
      </c>
      <c r="D293" s="255"/>
      <c r="E293" s="246" t="s">
        <v>1112</v>
      </c>
      <c r="F293" s="494">
        <f t="shared" ref="F293:N294" si="50">F294</f>
        <v>250</v>
      </c>
      <c r="G293" s="494"/>
      <c r="H293" s="494">
        <f t="shared" si="50"/>
        <v>250</v>
      </c>
      <c r="I293" s="247">
        <f t="shared" si="50"/>
        <v>0</v>
      </c>
      <c r="J293" s="247"/>
      <c r="K293" s="247">
        <f t="shared" si="50"/>
        <v>0</v>
      </c>
      <c r="L293" s="247">
        <f t="shared" si="50"/>
        <v>300</v>
      </c>
      <c r="M293" s="247"/>
      <c r="N293" s="247">
        <f t="shared" si="50"/>
        <v>300</v>
      </c>
    </row>
    <row r="294" spans="1:14" ht="38.25" x14ac:dyDescent="0.25">
      <c r="A294" s="229"/>
      <c r="B294" s="7"/>
      <c r="C294" s="248" t="s">
        <v>472</v>
      </c>
      <c r="D294" s="27"/>
      <c r="E294" s="28" t="s">
        <v>369</v>
      </c>
      <c r="F294" s="472">
        <f t="shared" si="50"/>
        <v>250</v>
      </c>
      <c r="G294" s="472"/>
      <c r="H294" s="472">
        <f t="shared" si="50"/>
        <v>250</v>
      </c>
      <c r="I294" s="29">
        <f t="shared" si="50"/>
        <v>0</v>
      </c>
      <c r="J294" s="29"/>
      <c r="K294" s="29">
        <f t="shared" si="50"/>
        <v>0</v>
      </c>
      <c r="L294" s="29">
        <f t="shared" si="50"/>
        <v>300</v>
      </c>
      <c r="M294" s="29"/>
      <c r="N294" s="29">
        <f t="shared" si="50"/>
        <v>300</v>
      </c>
    </row>
    <row r="295" spans="1:14" ht="25.5" x14ac:dyDescent="0.25">
      <c r="A295" s="229"/>
      <c r="B295" s="27"/>
      <c r="C295" s="248"/>
      <c r="D295" s="27" t="s">
        <v>17</v>
      </c>
      <c r="E295" s="28" t="s">
        <v>18</v>
      </c>
      <c r="F295" s="472">
        <v>250</v>
      </c>
      <c r="G295" s="472"/>
      <c r="H295" s="472">
        <v>250</v>
      </c>
      <c r="I295" s="29">
        <v>0</v>
      </c>
      <c r="J295" s="29"/>
      <c r="K295" s="29">
        <v>0</v>
      </c>
      <c r="L295" s="29">
        <v>300</v>
      </c>
      <c r="M295" s="29"/>
      <c r="N295" s="29">
        <v>300</v>
      </c>
    </row>
    <row r="296" spans="1:14" ht="38.25" x14ac:dyDescent="0.25">
      <c r="A296" s="229"/>
      <c r="B296" s="27"/>
      <c r="C296" s="230" t="s">
        <v>383</v>
      </c>
      <c r="D296" s="7"/>
      <c r="E296" s="231" t="s">
        <v>384</v>
      </c>
      <c r="F296" s="491">
        <f>F297</f>
        <v>2804.1</v>
      </c>
      <c r="G296" s="491">
        <f>G297</f>
        <v>0</v>
      </c>
      <c r="H296" s="491">
        <f>H297</f>
        <v>2804.1</v>
      </c>
      <c r="I296" s="232">
        <f>I297</f>
        <v>2756.6000000000004</v>
      </c>
      <c r="J296" s="232"/>
      <c r="K296" s="232">
        <f>K297</f>
        <v>2756.6000000000004</v>
      </c>
      <c r="L296" s="232">
        <f>L297</f>
        <v>2756.6000000000004</v>
      </c>
      <c r="M296" s="232"/>
      <c r="N296" s="232">
        <f>N297</f>
        <v>2756.6000000000004</v>
      </c>
    </row>
    <row r="297" spans="1:14" ht="25.5" x14ac:dyDescent="0.25">
      <c r="A297" s="229"/>
      <c r="B297" s="27"/>
      <c r="C297" s="248" t="s">
        <v>385</v>
      </c>
      <c r="D297" s="27"/>
      <c r="E297" s="28" t="s">
        <v>386</v>
      </c>
      <c r="F297" s="472">
        <f>F298+F299+F300</f>
        <v>2804.1</v>
      </c>
      <c r="G297" s="472">
        <f>G298+G299+G300</f>
        <v>0</v>
      </c>
      <c r="H297" s="472">
        <f>H298+H299+H300</f>
        <v>2804.1</v>
      </c>
      <c r="I297" s="29">
        <f>I298+I299+I300</f>
        <v>2756.6000000000004</v>
      </c>
      <c r="J297" s="29"/>
      <c r="K297" s="29">
        <f>K298+K299+K300</f>
        <v>2756.6000000000004</v>
      </c>
      <c r="L297" s="29">
        <f>L298+L299+L300</f>
        <v>2756.6000000000004</v>
      </c>
      <c r="M297" s="29"/>
      <c r="N297" s="29">
        <f>N298+N299+N300</f>
        <v>2756.6000000000004</v>
      </c>
    </row>
    <row r="298" spans="1:14" ht="39" x14ac:dyDescent="0.25">
      <c r="A298" s="229"/>
      <c r="B298" s="27"/>
      <c r="C298" s="230"/>
      <c r="D298" s="27" t="s">
        <v>30</v>
      </c>
      <c r="E298" s="26" t="s">
        <v>450</v>
      </c>
      <c r="F298" s="469">
        <v>2504.9</v>
      </c>
      <c r="G298" s="469"/>
      <c r="H298" s="469">
        <f>SUM(F298:G298)</f>
        <v>2504.9</v>
      </c>
      <c r="I298" s="160">
        <v>2517.3000000000002</v>
      </c>
      <c r="J298" s="160"/>
      <c r="K298" s="160">
        <v>2517.3000000000002</v>
      </c>
      <c r="L298" s="160">
        <v>2517.3000000000002</v>
      </c>
      <c r="M298" s="160"/>
      <c r="N298" s="160">
        <v>2517.3000000000002</v>
      </c>
    </row>
    <row r="299" spans="1:14" ht="25.5" x14ac:dyDescent="0.25">
      <c r="A299" s="229"/>
      <c r="B299" s="27"/>
      <c r="C299" s="230"/>
      <c r="D299" s="27" t="s">
        <v>17</v>
      </c>
      <c r="E299" s="28" t="s">
        <v>18</v>
      </c>
      <c r="F299" s="472">
        <v>159</v>
      </c>
      <c r="G299" s="473"/>
      <c r="H299" s="472">
        <f>SUM(F299:G299)</f>
        <v>159</v>
      </c>
      <c r="I299" s="29">
        <v>159</v>
      </c>
      <c r="J299" s="29"/>
      <c r="K299" s="29">
        <v>159</v>
      </c>
      <c r="L299" s="29">
        <v>159</v>
      </c>
      <c r="M299" s="29"/>
      <c r="N299" s="29">
        <v>159</v>
      </c>
    </row>
    <row r="300" spans="1:14" x14ac:dyDescent="0.25">
      <c r="A300" s="229"/>
      <c r="B300" s="27"/>
      <c r="C300" s="230"/>
      <c r="D300" s="27" t="s">
        <v>32</v>
      </c>
      <c r="E300" s="30" t="s">
        <v>33</v>
      </c>
      <c r="F300" s="472">
        <v>140.19999999999999</v>
      </c>
      <c r="G300" s="473"/>
      <c r="H300" s="472">
        <f>SUM(F300:G300)</f>
        <v>140.19999999999999</v>
      </c>
      <c r="I300" s="29">
        <v>80.3</v>
      </c>
      <c r="J300" s="29"/>
      <c r="K300" s="29">
        <v>80.3</v>
      </c>
      <c r="L300" s="29">
        <v>80.3</v>
      </c>
      <c r="M300" s="29"/>
      <c r="N300" s="29">
        <v>80.3</v>
      </c>
    </row>
    <row r="301" spans="1:14" x14ac:dyDescent="0.25">
      <c r="A301" s="229"/>
      <c r="B301" s="7" t="s">
        <v>872</v>
      </c>
      <c r="C301" s="230"/>
      <c r="D301" s="229"/>
      <c r="E301" s="231" t="s">
        <v>873</v>
      </c>
      <c r="F301" s="491">
        <f t="shared" ref="F301:N301" si="51">F302+F328+F399+F466</f>
        <v>55873.100000000006</v>
      </c>
      <c r="G301" s="491">
        <f t="shared" si="51"/>
        <v>-283.50900000000013</v>
      </c>
      <c r="H301" s="491">
        <f t="shared" si="51"/>
        <v>55589.591</v>
      </c>
      <c r="I301" s="232">
        <f t="shared" si="51"/>
        <v>40391.5</v>
      </c>
      <c r="J301" s="232">
        <f t="shared" si="51"/>
        <v>0</v>
      </c>
      <c r="K301" s="232">
        <f t="shared" si="51"/>
        <v>40391.5</v>
      </c>
      <c r="L301" s="232">
        <f t="shared" si="51"/>
        <v>40235.5</v>
      </c>
      <c r="M301" s="232">
        <f t="shared" si="51"/>
        <v>0</v>
      </c>
      <c r="N301" s="232">
        <f t="shared" si="51"/>
        <v>40235.5</v>
      </c>
    </row>
    <row r="302" spans="1:14" x14ac:dyDescent="0.25">
      <c r="A302" s="229"/>
      <c r="B302" s="7" t="s">
        <v>874</v>
      </c>
      <c r="C302" s="230"/>
      <c r="D302" s="229"/>
      <c r="E302" s="231" t="s">
        <v>875</v>
      </c>
      <c r="F302" s="491">
        <f t="shared" ref="F302:L302" si="52">F303</f>
        <v>3041.2</v>
      </c>
      <c r="G302" s="491">
        <f t="shared" si="52"/>
        <v>22.120999999999995</v>
      </c>
      <c r="H302" s="491">
        <f t="shared" si="52"/>
        <v>3063.3209999999999</v>
      </c>
      <c r="I302" s="232">
        <f t="shared" si="52"/>
        <v>182.2</v>
      </c>
      <c r="J302" s="232">
        <f t="shared" si="52"/>
        <v>0</v>
      </c>
      <c r="K302" s="232">
        <f t="shared" si="52"/>
        <v>182.2</v>
      </c>
      <c r="L302" s="232">
        <f t="shared" si="52"/>
        <v>6104.8</v>
      </c>
      <c r="M302" s="232"/>
      <c r="N302" s="232">
        <f>N303</f>
        <v>6104.8</v>
      </c>
    </row>
    <row r="303" spans="1:14" ht="25.5" x14ac:dyDescent="0.25">
      <c r="A303" s="229"/>
      <c r="B303" s="7"/>
      <c r="C303" s="230" t="s">
        <v>9</v>
      </c>
      <c r="D303" s="229"/>
      <c r="E303" s="233" t="s">
        <v>10</v>
      </c>
      <c r="F303" s="491">
        <f t="shared" ref="F303:L303" si="53">F308+F304+F322</f>
        <v>3041.2</v>
      </c>
      <c r="G303" s="491">
        <f t="shared" si="53"/>
        <v>22.120999999999995</v>
      </c>
      <c r="H303" s="491">
        <f t="shared" si="53"/>
        <v>3063.3209999999999</v>
      </c>
      <c r="I303" s="232">
        <f t="shared" si="53"/>
        <v>182.2</v>
      </c>
      <c r="J303" s="232">
        <f t="shared" si="53"/>
        <v>0</v>
      </c>
      <c r="K303" s="232">
        <f t="shared" si="53"/>
        <v>182.2</v>
      </c>
      <c r="L303" s="232">
        <f t="shared" si="53"/>
        <v>6104.8</v>
      </c>
      <c r="M303" s="232"/>
      <c r="N303" s="232">
        <f>N308+N304+N322</f>
        <v>6104.8</v>
      </c>
    </row>
    <row r="304" spans="1:14" ht="25.5" x14ac:dyDescent="0.25">
      <c r="A304" s="234"/>
      <c r="B304" s="235"/>
      <c r="C304" s="236" t="s">
        <v>166</v>
      </c>
      <c r="D304" s="235"/>
      <c r="E304" s="237" t="s">
        <v>167</v>
      </c>
      <c r="F304" s="492">
        <f>F305</f>
        <v>0</v>
      </c>
      <c r="G304" s="492"/>
      <c r="H304" s="492">
        <f>H305</f>
        <v>0</v>
      </c>
      <c r="I304" s="238">
        <f>I305</f>
        <v>50</v>
      </c>
      <c r="J304" s="238"/>
      <c r="K304" s="238">
        <f>K305</f>
        <v>50</v>
      </c>
      <c r="L304" s="238">
        <f>L305</f>
        <v>0</v>
      </c>
      <c r="M304" s="238"/>
      <c r="N304" s="238">
        <f>N305</f>
        <v>0</v>
      </c>
    </row>
    <row r="305" spans="1:14" s="304" customFormat="1" x14ac:dyDescent="0.25">
      <c r="A305" s="244"/>
      <c r="B305" s="34"/>
      <c r="C305" s="302" t="s">
        <v>727</v>
      </c>
      <c r="D305" s="303"/>
      <c r="E305" s="272" t="s">
        <v>728</v>
      </c>
      <c r="F305" s="494">
        <v>0</v>
      </c>
      <c r="G305" s="494"/>
      <c r="H305" s="494">
        <v>0</v>
      </c>
      <c r="I305" s="247">
        <f>I306</f>
        <v>50</v>
      </c>
      <c r="J305" s="247"/>
      <c r="K305" s="247">
        <f>K306</f>
        <v>50</v>
      </c>
      <c r="L305" s="247">
        <f>SUM(L306)</f>
        <v>0</v>
      </c>
      <c r="M305" s="247"/>
      <c r="N305" s="247">
        <f>SUM(N306)</f>
        <v>0</v>
      </c>
    </row>
    <row r="306" spans="1:14" ht="39" x14ac:dyDescent="0.25">
      <c r="A306" s="229"/>
      <c r="B306" s="7"/>
      <c r="C306" s="263" t="s">
        <v>730</v>
      </c>
      <c r="D306" s="15"/>
      <c r="E306" s="4" t="s">
        <v>729</v>
      </c>
      <c r="F306" s="472">
        <v>0</v>
      </c>
      <c r="G306" s="472"/>
      <c r="H306" s="472">
        <v>0</v>
      </c>
      <c r="I306" s="29">
        <f>I307</f>
        <v>50</v>
      </c>
      <c r="J306" s="29"/>
      <c r="K306" s="29">
        <f>K307</f>
        <v>50</v>
      </c>
      <c r="L306" s="29">
        <f>SUM(L307)</f>
        <v>0</v>
      </c>
      <c r="M306" s="29"/>
      <c r="N306" s="29">
        <f>SUM(N307)</f>
        <v>0</v>
      </c>
    </row>
    <row r="307" spans="1:14" ht="26.25" x14ac:dyDescent="0.25">
      <c r="A307" s="229"/>
      <c r="B307" s="7"/>
      <c r="C307" s="259"/>
      <c r="D307" s="32" t="s">
        <v>17</v>
      </c>
      <c r="E307" s="26" t="s">
        <v>18</v>
      </c>
      <c r="F307" s="472">
        <v>0</v>
      </c>
      <c r="G307" s="472"/>
      <c r="H307" s="472">
        <v>0</v>
      </c>
      <c r="I307" s="29">
        <v>50</v>
      </c>
      <c r="J307" s="29"/>
      <c r="K307" s="29">
        <v>50</v>
      </c>
      <c r="L307" s="29">
        <v>0</v>
      </c>
      <c r="M307" s="29"/>
      <c r="N307" s="29">
        <v>0</v>
      </c>
    </row>
    <row r="308" spans="1:14" ht="25.5" x14ac:dyDescent="0.25">
      <c r="A308" s="234"/>
      <c r="B308" s="235"/>
      <c r="C308" s="236" t="s">
        <v>189</v>
      </c>
      <c r="D308" s="261"/>
      <c r="E308" s="305" t="s">
        <v>1109</v>
      </c>
      <c r="F308" s="492">
        <f t="shared" ref="F308:L308" si="54">F309</f>
        <v>3041.2</v>
      </c>
      <c r="G308" s="492">
        <f t="shared" si="54"/>
        <v>22.120999999999995</v>
      </c>
      <c r="H308" s="492">
        <f t="shared" si="54"/>
        <v>3063.3209999999999</v>
      </c>
      <c r="I308" s="238">
        <f t="shared" si="54"/>
        <v>132.19999999999999</v>
      </c>
      <c r="J308" s="238">
        <f t="shared" si="54"/>
        <v>0</v>
      </c>
      <c r="K308" s="238">
        <f t="shared" si="54"/>
        <v>132.19999999999999</v>
      </c>
      <c r="L308" s="238">
        <f t="shared" si="54"/>
        <v>4266</v>
      </c>
      <c r="M308" s="238"/>
      <c r="N308" s="238">
        <f>N309</f>
        <v>4266</v>
      </c>
    </row>
    <row r="309" spans="1:14" ht="25.5" x14ac:dyDescent="0.25">
      <c r="A309" s="244"/>
      <c r="B309" s="34"/>
      <c r="C309" s="245" t="s">
        <v>731</v>
      </c>
      <c r="D309" s="34"/>
      <c r="E309" s="253" t="s">
        <v>1059</v>
      </c>
      <c r="F309" s="494">
        <f>F310+F312+F314+F316+F318</f>
        <v>3041.2</v>
      </c>
      <c r="G309" s="494">
        <f>G310+G312+G314+G316+G318</f>
        <v>22.120999999999995</v>
      </c>
      <c r="H309" s="494">
        <f>H310+H312+H314+H316+H318</f>
        <v>3063.3209999999999</v>
      </c>
      <c r="I309" s="247">
        <f>I310+I312+I318</f>
        <v>132.19999999999999</v>
      </c>
      <c r="J309" s="247">
        <f>J310+J312+J314+J316+J318</f>
        <v>0</v>
      </c>
      <c r="K309" s="247">
        <f>K310+K312+K314+K316+K318</f>
        <v>132.19999999999999</v>
      </c>
      <c r="L309" s="247">
        <f>L310+L312</f>
        <v>4266</v>
      </c>
      <c r="M309" s="247"/>
      <c r="N309" s="247">
        <f>N310+N312</f>
        <v>4266</v>
      </c>
    </row>
    <row r="310" spans="1:14" ht="38.25" x14ac:dyDescent="0.25">
      <c r="A310" s="229"/>
      <c r="B310" s="7"/>
      <c r="C310" s="248" t="s">
        <v>733</v>
      </c>
      <c r="D310" s="27"/>
      <c r="E310" s="273" t="s">
        <v>193</v>
      </c>
      <c r="F310" s="472">
        <f>F311</f>
        <v>106.6</v>
      </c>
      <c r="G310" s="472"/>
      <c r="H310" s="472">
        <f>H311</f>
        <v>106.6</v>
      </c>
      <c r="I310" s="29">
        <f>I311</f>
        <v>120</v>
      </c>
      <c r="J310" s="29"/>
      <c r="K310" s="29">
        <f>K311</f>
        <v>120</v>
      </c>
      <c r="L310" s="29">
        <f>L311</f>
        <v>150</v>
      </c>
      <c r="M310" s="29"/>
      <c r="N310" s="29">
        <f>N311</f>
        <v>150</v>
      </c>
    </row>
    <row r="311" spans="1:14" ht="25.5" x14ac:dyDescent="0.25">
      <c r="A311" s="229"/>
      <c r="B311" s="7"/>
      <c r="C311" s="248"/>
      <c r="D311" s="27" t="s">
        <v>17</v>
      </c>
      <c r="E311" s="28" t="s">
        <v>18</v>
      </c>
      <c r="F311" s="472">
        <v>106.6</v>
      </c>
      <c r="G311" s="472"/>
      <c r="H311" s="472">
        <v>106.6</v>
      </c>
      <c r="I311" s="29">
        <v>120</v>
      </c>
      <c r="J311" s="29"/>
      <c r="K311" s="29">
        <v>120</v>
      </c>
      <c r="L311" s="29">
        <v>150</v>
      </c>
      <c r="M311" s="29"/>
      <c r="N311" s="29">
        <v>150</v>
      </c>
    </row>
    <row r="312" spans="1:14" ht="25.5" x14ac:dyDescent="0.25">
      <c r="A312" s="229"/>
      <c r="B312" s="7"/>
      <c r="C312" s="248" t="s">
        <v>734</v>
      </c>
      <c r="D312" s="27"/>
      <c r="E312" s="273" t="s">
        <v>502</v>
      </c>
      <c r="F312" s="472">
        <f>SUM(F313:F313)</f>
        <v>1804.4</v>
      </c>
      <c r="G312" s="472">
        <f>G313</f>
        <v>181.9</v>
      </c>
      <c r="H312" s="472">
        <f>SUM(H313:H313)</f>
        <v>1986.3000000000002</v>
      </c>
      <c r="I312" s="29">
        <f>I313</f>
        <v>0</v>
      </c>
      <c r="J312" s="29"/>
      <c r="K312" s="29">
        <f>K313</f>
        <v>0</v>
      </c>
      <c r="L312" s="29">
        <f>L313</f>
        <v>4116</v>
      </c>
      <c r="M312" s="29"/>
      <c r="N312" s="29">
        <f>N313</f>
        <v>4116</v>
      </c>
    </row>
    <row r="313" spans="1:14" ht="25.5" x14ac:dyDescent="0.25">
      <c r="A313" s="229"/>
      <c r="B313" s="7"/>
      <c r="C313" s="248"/>
      <c r="D313" s="27" t="s">
        <v>17</v>
      </c>
      <c r="E313" s="28" t="s">
        <v>18</v>
      </c>
      <c r="F313" s="472">
        <v>1804.4</v>
      </c>
      <c r="G313" s="472">
        <v>181.9</v>
      </c>
      <c r="H313" s="472">
        <f>SUM(F313:G313)</f>
        <v>1986.3000000000002</v>
      </c>
      <c r="I313" s="29">
        <v>0</v>
      </c>
      <c r="J313" s="29"/>
      <c r="K313" s="29">
        <v>0</v>
      </c>
      <c r="L313" s="29">
        <v>4116</v>
      </c>
      <c r="M313" s="29"/>
      <c r="N313" s="29">
        <v>4116</v>
      </c>
    </row>
    <row r="314" spans="1:14" ht="26.25" x14ac:dyDescent="0.25">
      <c r="A314" s="229"/>
      <c r="B314" s="7"/>
      <c r="C314" s="32" t="s">
        <v>735</v>
      </c>
      <c r="D314" s="32"/>
      <c r="E314" s="26" t="s">
        <v>1078</v>
      </c>
      <c r="F314" s="472">
        <f>F315</f>
        <v>226.5</v>
      </c>
      <c r="G314" s="472">
        <f>G315</f>
        <v>-159.80000000000001</v>
      </c>
      <c r="H314" s="472">
        <f>H315</f>
        <v>66.699999999999989</v>
      </c>
      <c r="I314" s="29">
        <v>0</v>
      </c>
      <c r="J314" s="29"/>
      <c r="K314" s="29">
        <v>0</v>
      </c>
      <c r="L314" s="29">
        <v>0</v>
      </c>
      <c r="M314" s="29"/>
      <c r="N314" s="29">
        <v>0</v>
      </c>
    </row>
    <row r="315" spans="1:14" ht="26.25" x14ac:dyDescent="0.25">
      <c r="A315" s="229"/>
      <c r="B315" s="7"/>
      <c r="C315" s="32"/>
      <c r="D315" s="32" t="s">
        <v>17</v>
      </c>
      <c r="E315" s="26" t="s">
        <v>18</v>
      </c>
      <c r="F315" s="472">
        <v>226.5</v>
      </c>
      <c r="G315" s="472">
        <v>-159.80000000000001</v>
      </c>
      <c r="H315" s="472">
        <f>SUM(F315:G315)</f>
        <v>66.699999999999989</v>
      </c>
      <c r="I315" s="29">
        <v>0</v>
      </c>
      <c r="J315" s="29"/>
      <c r="K315" s="29">
        <v>0</v>
      </c>
      <c r="L315" s="29">
        <v>0</v>
      </c>
      <c r="M315" s="29"/>
      <c r="N315" s="29">
        <v>0</v>
      </c>
    </row>
    <row r="316" spans="1:14" ht="26.25" x14ac:dyDescent="0.25">
      <c r="A316" s="229"/>
      <c r="B316" s="7"/>
      <c r="C316" s="32" t="s">
        <v>805</v>
      </c>
      <c r="D316" s="32"/>
      <c r="E316" s="26" t="s">
        <v>1065</v>
      </c>
      <c r="F316" s="472">
        <f>F317</f>
        <v>715.5</v>
      </c>
      <c r="G316" s="472">
        <f>G317</f>
        <v>0</v>
      </c>
      <c r="H316" s="472">
        <f>H317</f>
        <v>715.5</v>
      </c>
      <c r="I316" s="29">
        <v>0</v>
      </c>
      <c r="J316" s="29"/>
      <c r="K316" s="29">
        <v>0</v>
      </c>
      <c r="L316" s="29">
        <v>0</v>
      </c>
      <c r="M316" s="29"/>
      <c r="N316" s="29">
        <v>0</v>
      </c>
    </row>
    <row r="317" spans="1:14" ht="26.25" x14ac:dyDescent="0.25">
      <c r="A317" s="229"/>
      <c r="B317" s="7"/>
      <c r="C317" s="32"/>
      <c r="D317" s="32" t="s">
        <v>17</v>
      </c>
      <c r="E317" s="26" t="s">
        <v>18</v>
      </c>
      <c r="F317" s="472">
        <v>715.5</v>
      </c>
      <c r="G317" s="472"/>
      <c r="H317" s="472">
        <v>715.5</v>
      </c>
      <c r="I317" s="29">
        <v>0</v>
      </c>
      <c r="J317" s="29"/>
      <c r="K317" s="29">
        <v>0</v>
      </c>
      <c r="L317" s="29">
        <v>0</v>
      </c>
      <c r="M317" s="29"/>
      <c r="N317" s="29">
        <v>0</v>
      </c>
    </row>
    <row r="318" spans="1:14" ht="25.5" x14ac:dyDescent="0.25">
      <c r="A318" s="229"/>
      <c r="B318" s="7"/>
      <c r="C318" s="27" t="s">
        <v>1064</v>
      </c>
      <c r="D318" s="27"/>
      <c r="E318" s="28" t="s">
        <v>1065</v>
      </c>
      <c r="F318" s="472">
        <f>F319</f>
        <v>188.20000000000002</v>
      </c>
      <c r="G318" s="473">
        <f>G319</f>
        <v>2.1000000000000001E-2</v>
      </c>
      <c r="H318" s="472">
        <f>H319</f>
        <v>188.221</v>
      </c>
      <c r="I318" s="29">
        <v>12.2</v>
      </c>
      <c r="J318" s="29"/>
      <c r="K318" s="29">
        <v>12.2</v>
      </c>
      <c r="L318" s="29"/>
      <c r="M318" s="29"/>
      <c r="N318" s="29">
        <v>0</v>
      </c>
    </row>
    <row r="319" spans="1:14" ht="25.5" x14ac:dyDescent="0.25">
      <c r="A319" s="229"/>
      <c r="B319" s="7"/>
      <c r="C319" s="27"/>
      <c r="D319" s="27" t="s">
        <v>17</v>
      </c>
      <c r="E319" s="28" t="s">
        <v>18</v>
      </c>
      <c r="F319" s="472">
        <f>F320+F321</f>
        <v>188.20000000000002</v>
      </c>
      <c r="G319" s="473">
        <f>G320+G321</f>
        <v>2.1000000000000001E-2</v>
      </c>
      <c r="H319" s="472">
        <f>SUM(F319:G319)</f>
        <v>188.221</v>
      </c>
      <c r="I319" s="29">
        <v>12.2</v>
      </c>
      <c r="J319" s="29"/>
      <c r="K319" s="29">
        <v>12.2</v>
      </c>
      <c r="L319" s="29"/>
      <c r="M319" s="29"/>
      <c r="N319" s="29">
        <v>0</v>
      </c>
    </row>
    <row r="320" spans="1:14" x14ac:dyDescent="0.25">
      <c r="A320" s="229"/>
      <c r="B320" s="7"/>
      <c r="C320" s="27"/>
      <c r="D320" s="27"/>
      <c r="E320" s="30" t="s">
        <v>191</v>
      </c>
      <c r="F320" s="472">
        <v>186.3</v>
      </c>
      <c r="G320" s="473">
        <v>3.9E-2</v>
      </c>
      <c r="H320" s="472">
        <f>SUM(F320:G320)</f>
        <v>186.339</v>
      </c>
      <c r="I320" s="29"/>
      <c r="J320" s="29"/>
      <c r="K320" s="29">
        <v>0</v>
      </c>
      <c r="L320" s="29"/>
      <c r="M320" s="29"/>
      <c r="N320" s="29">
        <v>0</v>
      </c>
    </row>
    <row r="321" spans="1:14" x14ac:dyDescent="0.25">
      <c r="A321" s="229"/>
      <c r="B321" s="7"/>
      <c r="C321" s="27"/>
      <c r="D321" s="27"/>
      <c r="E321" s="30" t="s">
        <v>192</v>
      </c>
      <c r="F321" s="472">
        <v>1.9</v>
      </c>
      <c r="G321" s="473">
        <v>-1.7999999999999999E-2</v>
      </c>
      <c r="H321" s="472">
        <f>SUM(F321:G321)</f>
        <v>1.8819999999999999</v>
      </c>
      <c r="I321" s="29">
        <v>12.2</v>
      </c>
      <c r="J321" s="29"/>
      <c r="K321" s="29">
        <v>12.2</v>
      </c>
      <c r="L321" s="29"/>
      <c r="M321" s="29"/>
      <c r="N321" s="29">
        <v>0</v>
      </c>
    </row>
    <row r="322" spans="1:14" ht="38.25" x14ac:dyDescent="0.25">
      <c r="A322" s="234"/>
      <c r="B322" s="235"/>
      <c r="C322" s="236" t="s">
        <v>359</v>
      </c>
      <c r="D322" s="261"/>
      <c r="E322" s="237" t="s">
        <v>360</v>
      </c>
      <c r="F322" s="492">
        <f>F323</f>
        <v>0</v>
      </c>
      <c r="G322" s="492"/>
      <c r="H322" s="492">
        <f>H323</f>
        <v>0</v>
      </c>
      <c r="I322" s="238">
        <f>I323</f>
        <v>0</v>
      </c>
      <c r="J322" s="238"/>
      <c r="K322" s="238">
        <f>K323</f>
        <v>0</v>
      </c>
      <c r="L322" s="238">
        <f>L323</f>
        <v>1838.8</v>
      </c>
      <c r="M322" s="238"/>
      <c r="N322" s="238">
        <f>N323</f>
        <v>1838.8</v>
      </c>
    </row>
    <row r="323" spans="1:14" ht="38.25" x14ac:dyDescent="0.25">
      <c r="A323" s="266"/>
      <c r="B323" s="267"/>
      <c r="C323" s="268" t="s">
        <v>361</v>
      </c>
      <c r="D323" s="269"/>
      <c r="E323" s="306" t="s">
        <v>362</v>
      </c>
      <c r="F323" s="504">
        <v>0</v>
      </c>
      <c r="G323" s="504"/>
      <c r="H323" s="504">
        <v>0</v>
      </c>
      <c r="I323" s="271">
        <f t="shared" ref="I323:N326" si="55">I324</f>
        <v>0</v>
      </c>
      <c r="J323" s="271"/>
      <c r="K323" s="271">
        <f t="shared" si="55"/>
        <v>0</v>
      </c>
      <c r="L323" s="271">
        <f t="shared" si="55"/>
        <v>1838.8</v>
      </c>
      <c r="M323" s="271"/>
      <c r="N323" s="271">
        <f t="shared" si="55"/>
        <v>1838.8</v>
      </c>
    </row>
    <row r="324" spans="1:14" ht="39" x14ac:dyDescent="0.25">
      <c r="A324" s="254"/>
      <c r="B324" s="34"/>
      <c r="C324" s="245" t="s">
        <v>433</v>
      </c>
      <c r="D324" s="255"/>
      <c r="E324" s="272" t="s">
        <v>364</v>
      </c>
      <c r="F324" s="494">
        <v>0</v>
      </c>
      <c r="G324" s="494"/>
      <c r="H324" s="494">
        <v>0</v>
      </c>
      <c r="I324" s="307">
        <f t="shared" si="55"/>
        <v>0</v>
      </c>
      <c r="J324" s="307"/>
      <c r="K324" s="307">
        <f t="shared" si="55"/>
        <v>0</v>
      </c>
      <c r="L324" s="307">
        <f t="shared" si="55"/>
        <v>1838.8</v>
      </c>
      <c r="M324" s="307"/>
      <c r="N324" s="307">
        <f t="shared" si="55"/>
        <v>1838.8</v>
      </c>
    </row>
    <row r="325" spans="1:14" ht="39" x14ac:dyDescent="0.25">
      <c r="A325" s="229"/>
      <c r="B325" s="7"/>
      <c r="C325" s="248" t="s">
        <v>363</v>
      </c>
      <c r="D325" s="27"/>
      <c r="E325" s="26" t="s">
        <v>432</v>
      </c>
      <c r="F325" s="472">
        <v>0</v>
      </c>
      <c r="G325" s="472"/>
      <c r="H325" s="472">
        <v>0</v>
      </c>
      <c r="I325" s="29">
        <f t="shared" si="55"/>
        <v>0</v>
      </c>
      <c r="J325" s="29"/>
      <c r="K325" s="29">
        <f t="shared" si="55"/>
        <v>0</v>
      </c>
      <c r="L325" s="29">
        <f t="shared" si="55"/>
        <v>1838.8</v>
      </c>
      <c r="M325" s="29"/>
      <c r="N325" s="29">
        <f t="shared" si="55"/>
        <v>1838.8</v>
      </c>
    </row>
    <row r="326" spans="1:14" ht="26.25" x14ac:dyDescent="0.25">
      <c r="A326" s="229"/>
      <c r="B326" s="7"/>
      <c r="C326" s="248"/>
      <c r="D326" s="32" t="s">
        <v>186</v>
      </c>
      <c r="E326" s="26" t="s">
        <v>187</v>
      </c>
      <c r="F326" s="472">
        <v>0</v>
      </c>
      <c r="G326" s="472"/>
      <c r="H326" s="472">
        <v>0</v>
      </c>
      <c r="I326" s="29">
        <f t="shared" si="55"/>
        <v>0</v>
      </c>
      <c r="J326" s="29"/>
      <c r="K326" s="29">
        <f t="shared" si="55"/>
        <v>0</v>
      </c>
      <c r="L326" s="29">
        <f t="shared" si="55"/>
        <v>1838.8</v>
      </c>
      <c r="M326" s="29"/>
      <c r="N326" s="29">
        <f t="shared" si="55"/>
        <v>1838.8</v>
      </c>
    </row>
    <row r="327" spans="1:14" x14ac:dyDescent="0.25">
      <c r="A327" s="229"/>
      <c r="B327" s="7"/>
      <c r="C327" s="248"/>
      <c r="D327" s="27"/>
      <c r="E327" s="30" t="s">
        <v>192</v>
      </c>
      <c r="F327" s="472">
        <v>0</v>
      </c>
      <c r="G327" s="472"/>
      <c r="H327" s="472">
        <v>0</v>
      </c>
      <c r="I327" s="29">
        <v>0</v>
      </c>
      <c r="J327" s="29"/>
      <c r="K327" s="29">
        <v>0</v>
      </c>
      <c r="L327" s="29">
        <v>1838.8</v>
      </c>
      <c r="M327" s="29"/>
      <c r="N327" s="29">
        <v>1838.8</v>
      </c>
    </row>
    <row r="328" spans="1:14" x14ac:dyDescent="0.25">
      <c r="A328" s="229"/>
      <c r="B328" s="7" t="s">
        <v>876</v>
      </c>
      <c r="C328" s="230"/>
      <c r="D328" s="229"/>
      <c r="E328" s="231" t="s">
        <v>877</v>
      </c>
      <c r="F328" s="491">
        <f t="shared" ref="F328:N328" si="56">F329+F393</f>
        <v>9849.5</v>
      </c>
      <c r="G328" s="491">
        <f t="shared" si="56"/>
        <v>-342.57700000000006</v>
      </c>
      <c r="H328" s="491">
        <f t="shared" si="56"/>
        <v>9506.9230000000007</v>
      </c>
      <c r="I328" s="232">
        <f t="shared" si="56"/>
        <v>14361.400000000001</v>
      </c>
      <c r="J328" s="232">
        <f t="shared" si="56"/>
        <v>0</v>
      </c>
      <c r="K328" s="232">
        <f t="shared" si="56"/>
        <v>14361.400000000001</v>
      </c>
      <c r="L328" s="232">
        <f t="shared" si="56"/>
        <v>7489.0000000000009</v>
      </c>
      <c r="M328" s="232">
        <f t="shared" si="56"/>
        <v>0</v>
      </c>
      <c r="N328" s="232">
        <f t="shared" si="56"/>
        <v>7489.0000000000009</v>
      </c>
    </row>
    <row r="329" spans="1:14" ht="25.5" x14ac:dyDescent="0.25">
      <c r="A329" s="229"/>
      <c r="B329" s="27"/>
      <c r="C329" s="230" t="s">
        <v>9</v>
      </c>
      <c r="D329" s="229"/>
      <c r="E329" s="233" t="s">
        <v>10</v>
      </c>
      <c r="F329" s="491">
        <f t="shared" ref="F329:N329" si="57">F330</f>
        <v>8949.5</v>
      </c>
      <c r="G329" s="491">
        <f t="shared" si="57"/>
        <v>-424.07700000000006</v>
      </c>
      <c r="H329" s="491">
        <f t="shared" si="57"/>
        <v>8525.4230000000007</v>
      </c>
      <c r="I329" s="232">
        <f t="shared" si="57"/>
        <v>13381.900000000001</v>
      </c>
      <c r="J329" s="232">
        <f t="shared" si="57"/>
        <v>0</v>
      </c>
      <c r="K329" s="232">
        <f t="shared" si="57"/>
        <v>13381.900000000001</v>
      </c>
      <c r="L329" s="232">
        <f t="shared" si="57"/>
        <v>7489.0000000000009</v>
      </c>
      <c r="M329" s="232">
        <f t="shared" si="57"/>
        <v>0</v>
      </c>
      <c r="N329" s="232">
        <f t="shared" si="57"/>
        <v>7489.0000000000009</v>
      </c>
    </row>
    <row r="330" spans="1:14" ht="25.5" x14ac:dyDescent="0.25">
      <c r="A330" s="234"/>
      <c r="B330" s="235"/>
      <c r="C330" s="236" t="s">
        <v>260</v>
      </c>
      <c r="D330" s="235"/>
      <c r="E330" s="305" t="s">
        <v>261</v>
      </c>
      <c r="F330" s="492">
        <f>F331+F341+F345</f>
        <v>8949.5</v>
      </c>
      <c r="G330" s="492">
        <f>G331+G341+G345</f>
        <v>-424.07700000000006</v>
      </c>
      <c r="H330" s="492">
        <f>H331+H341+H345</f>
        <v>8525.4230000000007</v>
      </c>
      <c r="I330" s="238">
        <f t="shared" ref="I330:N330" si="58">I345+I331+I342</f>
        <v>13381.900000000001</v>
      </c>
      <c r="J330" s="238">
        <f t="shared" si="58"/>
        <v>0</v>
      </c>
      <c r="K330" s="238">
        <f t="shared" si="58"/>
        <v>13381.900000000001</v>
      </c>
      <c r="L330" s="238">
        <f t="shared" si="58"/>
        <v>7489.0000000000009</v>
      </c>
      <c r="M330" s="238">
        <f t="shared" si="58"/>
        <v>0</v>
      </c>
      <c r="N330" s="238">
        <f t="shared" si="58"/>
        <v>7489.0000000000009</v>
      </c>
    </row>
    <row r="331" spans="1:14" x14ac:dyDescent="0.25">
      <c r="A331" s="286"/>
      <c r="B331" s="308"/>
      <c r="C331" s="309" t="s">
        <v>262</v>
      </c>
      <c r="D331" s="308"/>
      <c r="E331" s="310" t="s">
        <v>263</v>
      </c>
      <c r="F331" s="505">
        <v>0</v>
      </c>
      <c r="G331" s="505"/>
      <c r="H331" s="505">
        <v>0</v>
      </c>
      <c r="I331" s="353">
        <f>I332</f>
        <v>1681.5</v>
      </c>
      <c r="J331" s="353"/>
      <c r="K331" s="353">
        <f>K332</f>
        <v>1681.5</v>
      </c>
      <c r="L331" s="353">
        <f>L332</f>
        <v>0</v>
      </c>
      <c r="M331" s="353"/>
      <c r="N331" s="353">
        <f>N332</f>
        <v>0</v>
      </c>
    </row>
    <row r="332" spans="1:14" ht="26.25" x14ac:dyDescent="0.25">
      <c r="A332" s="312"/>
      <c r="B332" s="312"/>
      <c r="C332" s="31" t="s">
        <v>776</v>
      </c>
      <c r="D332" s="312"/>
      <c r="E332" s="312" t="s">
        <v>777</v>
      </c>
      <c r="F332" s="483">
        <v>0</v>
      </c>
      <c r="G332" s="483"/>
      <c r="H332" s="483">
        <v>0</v>
      </c>
      <c r="I332" s="355">
        <f>I335+I338</f>
        <v>1681.5</v>
      </c>
      <c r="J332" s="355"/>
      <c r="K332" s="355">
        <f>K335+K338</f>
        <v>1681.5</v>
      </c>
      <c r="L332" s="354">
        <v>0</v>
      </c>
      <c r="M332" s="355"/>
      <c r="N332" s="354">
        <v>0</v>
      </c>
    </row>
    <row r="333" spans="1:14" s="372" customFormat="1" ht="26.25" x14ac:dyDescent="0.25">
      <c r="A333" s="369"/>
      <c r="B333" s="369"/>
      <c r="C333" s="32" t="s">
        <v>789</v>
      </c>
      <c r="D333" s="369"/>
      <c r="E333" s="373" t="s">
        <v>1027</v>
      </c>
      <c r="F333" s="476">
        <f>F335+F338</f>
        <v>0</v>
      </c>
      <c r="G333" s="476"/>
      <c r="H333" s="476">
        <f>H335+H338</f>
        <v>0</v>
      </c>
      <c r="I333" s="371">
        <f>I335+I338</f>
        <v>1681.5</v>
      </c>
      <c r="J333" s="371"/>
      <c r="K333" s="371">
        <f>K335+K338</f>
        <v>1681.5</v>
      </c>
      <c r="L333" s="371">
        <f>L335+L338</f>
        <v>0</v>
      </c>
      <c r="M333" s="371"/>
      <c r="N333" s="371">
        <f>N335+N338</f>
        <v>0</v>
      </c>
    </row>
    <row r="334" spans="1:14" s="372" customFormat="1" x14ac:dyDescent="0.25">
      <c r="A334" s="369"/>
      <c r="B334" s="369"/>
      <c r="C334" s="33"/>
      <c r="D334" s="369"/>
      <c r="E334" s="373" t="s">
        <v>1</v>
      </c>
      <c r="F334" s="506"/>
      <c r="G334" s="506"/>
      <c r="H334" s="506"/>
      <c r="I334" s="371"/>
      <c r="J334" s="371"/>
      <c r="K334" s="371"/>
      <c r="L334" s="370"/>
      <c r="M334" s="371"/>
      <c r="N334" s="370"/>
    </row>
    <row r="335" spans="1:14" x14ac:dyDescent="0.25">
      <c r="A335" s="229"/>
      <c r="B335" s="7"/>
      <c r="C335" s="32"/>
      <c r="D335" s="32"/>
      <c r="E335" s="374" t="s">
        <v>778</v>
      </c>
      <c r="F335" s="480">
        <v>0</v>
      </c>
      <c r="G335" s="480"/>
      <c r="H335" s="480">
        <v>0</v>
      </c>
      <c r="I335" s="375">
        <f>I336</f>
        <v>1420.9</v>
      </c>
      <c r="J335" s="375"/>
      <c r="K335" s="375">
        <f>K336</f>
        <v>1420.9</v>
      </c>
      <c r="L335" s="375">
        <v>0</v>
      </c>
      <c r="M335" s="375"/>
      <c r="N335" s="375">
        <v>0</v>
      </c>
    </row>
    <row r="336" spans="1:14" ht="26.25" x14ac:dyDescent="0.25">
      <c r="A336" s="229"/>
      <c r="B336" s="7"/>
      <c r="C336" s="32"/>
      <c r="D336" s="32" t="s">
        <v>186</v>
      </c>
      <c r="E336" s="26" t="s">
        <v>187</v>
      </c>
      <c r="F336" s="476">
        <v>0</v>
      </c>
      <c r="G336" s="476"/>
      <c r="H336" s="476">
        <v>0</v>
      </c>
      <c r="I336" s="38">
        <f>I337</f>
        <v>1420.9</v>
      </c>
      <c r="J336" s="38"/>
      <c r="K336" s="38">
        <f>K337</f>
        <v>1420.9</v>
      </c>
      <c r="L336" s="38">
        <v>0</v>
      </c>
      <c r="M336" s="38"/>
      <c r="N336" s="38">
        <v>0</v>
      </c>
    </row>
    <row r="337" spans="1:14" x14ac:dyDescent="0.25">
      <c r="A337" s="229"/>
      <c r="B337" s="7"/>
      <c r="C337" s="32"/>
      <c r="D337" s="32"/>
      <c r="E337" s="3" t="s">
        <v>267</v>
      </c>
      <c r="F337" s="476">
        <v>0</v>
      </c>
      <c r="G337" s="476"/>
      <c r="H337" s="476">
        <v>0</v>
      </c>
      <c r="I337" s="38">
        <v>1420.9</v>
      </c>
      <c r="J337" s="38"/>
      <c r="K337" s="38">
        <v>1420.9</v>
      </c>
      <c r="L337" s="38">
        <v>0</v>
      </c>
      <c r="M337" s="38"/>
      <c r="N337" s="38">
        <v>0</v>
      </c>
    </row>
    <row r="338" spans="1:14" ht="39" x14ac:dyDescent="0.25">
      <c r="A338" s="229"/>
      <c r="B338" s="7"/>
      <c r="C338" s="32"/>
      <c r="D338" s="32"/>
      <c r="E338" s="374" t="s">
        <v>1031</v>
      </c>
      <c r="F338" s="480">
        <v>0</v>
      </c>
      <c r="G338" s="480"/>
      <c r="H338" s="480">
        <v>0</v>
      </c>
      <c r="I338" s="375">
        <f>I339</f>
        <v>260.60000000000002</v>
      </c>
      <c r="J338" s="375"/>
      <c r="K338" s="375">
        <f>K339</f>
        <v>260.60000000000002</v>
      </c>
      <c r="L338" s="375">
        <v>0</v>
      </c>
      <c r="M338" s="375"/>
      <c r="N338" s="375">
        <v>0</v>
      </c>
    </row>
    <row r="339" spans="1:14" ht="26.25" x14ac:dyDescent="0.25">
      <c r="A339" s="229"/>
      <c r="B339" s="7"/>
      <c r="C339" s="14"/>
      <c r="D339" s="32" t="s">
        <v>186</v>
      </c>
      <c r="E339" s="26" t="s">
        <v>187</v>
      </c>
      <c r="F339" s="476">
        <v>0</v>
      </c>
      <c r="G339" s="476"/>
      <c r="H339" s="476">
        <v>0</v>
      </c>
      <c r="I339" s="38">
        <f>I340</f>
        <v>260.60000000000002</v>
      </c>
      <c r="J339" s="38"/>
      <c r="K339" s="38">
        <f>K340</f>
        <v>260.60000000000002</v>
      </c>
      <c r="L339" s="38">
        <v>0</v>
      </c>
      <c r="M339" s="38"/>
      <c r="N339" s="38">
        <v>0</v>
      </c>
    </row>
    <row r="340" spans="1:14" x14ac:dyDescent="0.25">
      <c r="A340" s="229"/>
      <c r="B340" s="7"/>
      <c r="C340" s="14"/>
      <c r="D340" s="32"/>
      <c r="E340" s="3" t="s">
        <v>267</v>
      </c>
      <c r="F340" s="472">
        <v>0</v>
      </c>
      <c r="G340" s="472"/>
      <c r="H340" s="472">
        <v>0</v>
      </c>
      <c r="I340" s="38">
        <v>260.60000000000002</v>
      </c>
      <c r="J340" s="38"/>
      <c r="K340" s="38">
        <v>260.60000000000002</v>
      </c>
      <c r="L340" s="29">
        <v>0</v>
      </c>
      <c r="M340" s="38"/>
      <c r="N340" s="29">
        <v>0</v>
      </c>
    </row>
    <row r="341" spans="1:14" ht="25.5" x14ac:dyDescent="0.25">
      <c r="A341" s="266"/>
      <c r="B341" s="267"/>
      <c r="C341" s="268" t="s">
        <v>268</v>
      </c>
      <c r="D341" s="267"/>
      <c r="E341" s="306" t="s">
        <v>269</v>
      </c>
      <c r="F341" s="504">
        <f t="shared" ref="F341:N343" si="59">F342</f>
        <v>695.4</v>
      </c>
      <c r="G341" s="504"/>
      <c r="H341" s="504">
        <f t="shared" si="59"/>
        <v>695.4</v>
      </c>
      <c r="I341" s="271">
        <f t="shared" si="59"/>
        <v>0</v>
      </c>
      <c r="J341" s="271"/>
      <c r="K341" s="271">
        <f t="shared" si="59"/>
        <v>0</v>
      </c>
      <c r="L341" s="271">
        <f t="shared" si="59"/>
        <v>0</v>
      </c>
      <c r="M341" s="271"/>
      <c r="N341" s="271">
        <f t="shared" si="59"/>
        <v>0</v>
      </c>
    </row>
    <row r="342" spans="1:14" x14ac:dyDescent="0.25">
      <c r="A342" s="244"/>
      <c r="B342" s="34"/>
      <c r="C342" s="245" t="s">
        <v>277</v>
      </c>
      <c r="D342" s="255"/>
      <c r="E342" s="253" t="s">
        <v>278</v>
      </c>
      <c r="F342" s="494">
        <f t="shared" si="59"/>
        <v>695.4</v>
      </c>
      <c r="G342" s="494"/>
      <c r="H342" s="494">
        <f t="shared" si="59"/>
        <v>695.4</v>
      </c>
      <c r="I342" s="247">
        <f t="shared" si="59"/>
        <v>0</v>
      </c>
      <c r="J342" s="247"/>
      <c r="K342" s="247">
        <f t="shared" si="59"/>
        <v>0</v>
      </c>
      <c r="L342" s="247">
        <f t="shared" si="59"/>
        <v>0</v>
      </c>
      <c r="M342" s="247"/>
      <c r="N342" s="247">
        <f t="shared" si="59"/>
        <v>0</v>
      </c>
    </row>
    <row r="343" spans="1:14" x14ac:dyDescent="0.25">
      <c r="A343" s="229"/>
      <c r="B343" s="7"/>
      <c r="C343" s="313" t="s">
        <v>281</v>
      </c>
      <c r="D343" s="9"/>
      <c r="E343" s="28" t="s">
        <v>282</v>
      </c>
      <c r="F343" s="473">
        <f t="shared" si="59"/>
        <v>695.4</v>
      </c>
      <c r="G343" s="473"/>
      <c r="H343" s="473">
        <f t="shared" si="59"/>
        <v>695.4</v>
      </c>
      <c r="I343" s="8">
        <f t="shared" si="59"/>
        <v>0</v>
      </c>
      <c r="J343" s="8"/>
      <c r="K343" s="8">
        <f t="shared" si="59"/>
        <v>0</v>
      </c>
      <c r="L343" s="8">
        <f t="shared" si="59"/>
        <v>0</v>
      </c>
      <c r="M343" s="8"/>
      <c r="N343" s="8">
        <f t="shared" si="59"/>
        <v>0</v>
      </c>
    </row>
    <row r="344" spans="1:14" ht="25.5" x14ac:dyDescent="0.25">
      <c r="A344" s="229"/>
      <c r="B344" s="7"/>
      <c r="C344" s="314"/>
      <c r="D344" s="9" t="s">
        <v>17</v>
      </c>
      <c r="E344" s="28" t="s">
        <v>18</v>
      </c>
      <c r="F344" s="473">
        <v>695.4</v>
      </c>
      <c r="G344" s="473"/>
      <c r="H344" s="473">
        <v>695.4</v>
      </c>
      <c r="I344" s="29">
        <v>0</v>
      </c>
      <c r="J344" s="29"/>
      <c r="K344" s="29">
        <v>0</v>
      </c>
      <c r="L344" s="8">
        <v>0</v>
      </c>
      <c r="M344" s="29"/>
      <c r="N344" s="8">
        <v>0</v>
      </c>
    </row>
    <row r="345" spans="1:14" ht="25.5" x14ac:dyDescent="0.25">
      <c r="A345" s="266"/>
      <c r="B345" s="267"/>
      <c r="C345" s="268" t="s">
        <v>291</v>
      </c>
      <c r="D345" s="267"/>
      <c r="E345" s="315" t="s">
        <v>878</v>
      </c>
      <c r="F345" s="504">
        <f>F346+F367+F382</f>
        <v>8254.1</v>
      </c>
      <c r="G345" s="504">
        <f>G346+G367+G382</f>
        <v>-424.07700000000006</v>
      </c>
      <c r="H345" s="504">
        <f>H346+H367+H382</f>
        <v>7830.0230000000001</v>
      </c>
      <c r="I345" s="271">
        <f t="shared" ref="I345:N345" si="60">I346+I367</f>
        <v>11700.400000000001</v>
      </c>
      <c r="J345" s="271">
        <f t="shared" si="60"/>
        <v>0</v>
      </c>
      <c r="K345" s="271">
        <f t="shared" si="60"/>
        <v>11700.400000000001</v>
      </c>
      <c r="L345" s="271">
        <f t="shared" si="60"/>
        <v>7489.0000000000009</v>
      </c>
      <c r="M345" s="271">
        <f t="shared" si="60"/>
        <v>0</v>
      </c>
      <c r="N345" s="271">
        <f t="shared" si="60"/>
        <v>7489.0000000000009</v>
      </c>
    </row>
    <row r="346" spans="1:14" ht="39" x14ac:dyDescent="0.25">
      <c r="A346" s="244"/>
      <c r="B346" s="34"/>
      <c r="C346" s="245" t="s">
        <v>293</v>
      </c>
      <c r="D346" s="34"/>
      <c r="E346" s="316" t="s">
        <v>463</v>
      </c>
      <c r="F346" s="494">
        <f>F347+F351+F355+F359+F349+F363</f>
        <v>4591.8</v>
      </c>
      <c r="G346" s="494">
        <f>G347+G351+G355+G359+G349+G363</f>
        <v>-399.88100000000003</v>
      </c>
      <c r="H346" s="494">
        <f>H347+H351+H355+H359+H349+H363</f>
        <v>4191.9189999999999</v>
      </c>
      <c r="I346" s="247">
        <f t="shared" ref="I346:N346" si="61">I347+I351+I355+I359+I349</f>
        <v>11245.900000000001</v>
      </c>
      <c r="J346" s="247">
        <f t="shared" si="61"/>
        <v>0</v>
      </c>
      <c r="K346" s="247">
        <f t="shared" si="61"/>
        <v>11245.900000000001</v>
      </c>
      <c r="L346" s="247">
        <f t="shared" si="61"/>
        <v>7034.5000000000009</v>
      </c>
      <c r="M346" s="247">
        <f t="shared" si="61"/>
        <v>0</v>
      </c>
      <c r="N346" s="247">
        <f t="shared" si="61"/>
        <v>7034.5000000000009</v>
      </c>
    </row>
    <row r="347" spans="1:14" x14ac:dyDescent="0.25">
      <c r="A347" s="229"/>
      <c r="B347" s="7"/>
      <c r="C347" s="248" t="s">
        <v>461</v>
      </c>
      <c r="D347" s="27"/>
      <c r="E347" s="28" t="s">
        <v>470</v>
      </c>
      <c r="F347" s="473">
        <f>F348</f>
        <v>3038.9</v>
      </c>
      <c r="G347" s="473">
        <f>G348</f>
        <v>-0.04</v>
      </c>
      <c r="H347" s="473">
        <f>H348</f>
        <v>3038.86</v>
      </c>
      <c r="I347" s="8">
        <v>454.6</v>
      </c>
      <c r="J347" s="8"/>
      <c r="K347" s="8">
        <v>454.6</v>
      </c>
      <c r="L347" s="8">
        <v>454.6</v>
      </c>
      <c r="M347" s="8"/>
      <c r="N347" s="8">
        <v>454.6</v>
      </c>
    </row>
    <row r="348" spans="1:14" ht="25.5" x14ac:dyDescent="0.25">
      <c r="A348" s="229"/>
      <c r="B348" s="7"/>
      <c r="C348" s="230"/>
      <c r="D348" s="27" t="s">
        <v>17</v>
      </c>
      <c r="E348" s="28" t="s">
        <v>18</v>
      </c>
      <c r="F348" s="472">
        <v>3038.9</v>
      </c>
      <c r="G348" s="473">
        <v>-0.04</v>
      </c>
      <c r="H348" s="472">
        <f>SUM(F348:G348)</f>
        <v>3038.86</v>
      </c>
      <c r="I348" s="8">
        <v>454.6</v>
      </c>
      <c r="J348" s="8"/>
      <c r="K348" s="8">
        <v>454.6</v>
      </c>
      <c r="L348" s="8">
        <v>454.6</v>
      </c>
      <c r="M348" s="8"/>
      <c r="N348" s="8">
        <v>454.6</v>
      </c>
    </row>
    <row r="349" spans="1:14" ht="26.25" x14ac:dyDescent="0.25">
      <c r="A349" s="229"/>
      <c r="B349" s="7"/>
      <c r="C349" s="248" t="s">
        <v>792</v>
      </c>
      <c r="D349" s="27"/>
      <c r="E349" s="6" t="s">
        <v>405</v>
      </c>
      <c r="F349" s="473">
        <f>F350</f>
        <v>477.9</v>
      </c>
      <c r="G349" s="473"/>
      <c r="H349" s="473">
        <f>H350</f>
        <v>477.9</v>
      </c>
      <c r="I349" s="8">
        <f>I350</f>
        <v>543.1</v>
      </c>
      <c r="J349" s="8"/>
      <c r="K349" s="8">
        <f>K350</f>
        <v>543.1</v>
      </c>
      <c r="L349" s="8">
        <f>L350</f>
        <v>543.1</v>
      </c>
      <c r="M349" s="8"/>
      <c r="N349" s="8">
        <f>N350</f>
        <v>543.1</v>
      </c>
    </row>
    <row r="350" spans="1:14" ht="25.5" x14ac:dyDescent="0.25">
      <c r="A350" s="229"/>
      <c r="B350" s="7"/>
      <c r="C350" s="230"/>
      <c r="D350" s="27" t="s">
        <v>17</v>
      </c>
      <c r="E350" s="28" t="s">
        <v>18</v>
      </c>
      <c r="F350" s="473">
        <v>477.9</v>
      </c>
      <c r="G350" s="473"/>
      <c r="H350" s="473">
        <f>SUM(F350:G350)</f>
        <v>477.9</v>
      </c>
      <c r="I350" s="8">
        <v>543.1</v>
      </c>
      <c r="J350" s="8"/>
      <c r="K350" s="8">
        <v>543.1</v>
      </c>
      <c r="L350" s="8">
        <v>543.1</v>
      </c>
      <c r="M350" s="8"/>
      <c r="N350" s="8">
        <v>543.1</v>
      </c>
    </row>
    <row r="351" spans="1:14" ht="26.25" x14ac:dyDescent="0.25">
      <c r="A351" s="229"/>
      <c r="B351" s="7"/>
      <c r="C351" s="27" t="s">
        <v>799</v>
      </c>
      <c r="D351" s="32"/>
      <c r="E351" s="26" t="s">
        <v>800</v>
      </c>
      <c r="F351" s="472">
        <f>SUM(F352)</f>
        <v>0</v>
      </c>
      <c r="G351" s="473"/>
      <c r="H351" s="472">
        <f t="shared" ref="H351:N351" si="62">SUM(H352)</f>
        <v>0</v>
      </c>
      <c r="I351" s="38">
        <f t="shared" si="62"/>
        <v>9048.2000000000007</v>
      </c>
      <c r="J351" s="38">
        <f t="shared" si="62"/>
        <v>0</v>
      </c>
      <c r="K351" s="38">
        <f t="shared" si="62"/>
        <v>9048.2000000000007</v>
      </c>
      <c r="L351" s="38">
        <f t="shared" si="62"/>
        <v>6036.8</v>
      </c>
      <c r="M351" s="38">
        <f t="shared" si="62"/>
        <v>0</v>
      </c>
      <c r="N351" s="38">
        <f t="shared" si="62"/>
        <v>6036.8</v>
      </c>
    </row>
    <row r="352" spans="1:14" x14ac:dyDescent="0.25">
      <c r="A352" s="229"/>
      <c r="B352" s="7"/>
      <c r="C352" s="230"/>
      <c r="D352" s="157" t="s">
        <v>32</v>
      </c>
      <c r="E352" s="30" t="s">
        <v>33</v>
      </c>
      <c r="F352" s="472">
        <v>0</v>
      </c>
      <c r="G352" s="473"/>
      <c r="H352" s="472">
        <v>0</v>
      </c>
      <c r="I352" s="38">
        <f t="shared" ref="I352:N352" si="63">I353+I354</f>
        <v>9048.2000000000007</v>
      </c>
      <c r="J352" s="38">
        <f t="shared" si="63"/>
        <v>0</v>
      </c>
      <c r="K352" s="38">
        <f t="shared" si="63"/>
        <v>9048.2000000000007</v>
      </c>
      <c r="L352" s="38">
        <f t="shared" si="63"/>
        <v>6036.8</v>
      </c>
      <c r="M352" s="38">
        <f t="shared" si="63"/>
        <v>0</v>
      </c>
      <c r="N352" s="38">
        <f t="shared" si="63"/>
        <v>6036.8</v>
      </c>
    </row>
    <row r="353" spans="1:14" x14ac:dyDescent="0.25">
      <c r="A353" s="229"/>
      <c r="B353" s="7"/>
      <c r="C353" s="230"/>
      <c r="D353" s="27"/>
      <c r="E353" s="26" t="s">
        <v>255</v>
      </c>
      <c r="F353" s="472">
        <v>0</v>
      </c>
      <c r="G353" s="473"/>
      <c r="H353" s="472">
        <v>0</v>
      </c>
      <c r="I353" s="38">
        <v>4701.3999999999996</v>
      </c>
      <c r="J353" s="38"/>
      <c r="K353" s="38">
        <f>SUM(I353:J353)</f>
        <v>4701.3999999999996</v>
      </c>
      <c r="L353" s="38">
        <v>1937.7</v>
      </c>
      <c r="M353" s="38"/>
      <c r="N353" s="38">
        <f>SUM(L353:M353)</f>
        <v>1937.7</v>
      </c>
    </row>
    <row r="354" spans="1:14" x14ac:dyDescent="0.25">
      <c r="A354" s="229"/>
      <c r="B354" s="7"/>
      <c r="C354" s="230"/>
      <c r="D354" s="27"/>
      <c r="E354" s="26" t="s">
        <v>192</v>
      </c>
      <c r="F354" s="472">
        <v>0</v>
      </c>
      <c r="G354" s="473"/>
      <c r="H354" s="472">
        <v>0</v>
      </c>
      <c r="I354" s="38">
        <v>4346.8</v>
      </c>
      <c r="J354" s="38"/>
      <c r="K354" s="38">
        <v>4346.8</v>
      </c>
      <c r="L354" s="38">
        <v>4099.1000000000004</v>
      </c>
      <c r="M354" s="38"/>
      <c r="N354" s="38">
        <v>4099.1000000000004</v>
      </c>
    </row>
    <row r="355" spans="1:14" ht="26.25" x14ac:dyDescent="0.25">
      <c r="A355" s="229"/>
      <c r="B355" s="7"/>
      <c r="C355" s="259" t="s">
        <v>444</v>
      </c>
      <c r="D355" s="32"/>
      <c r="E355" s="26" t="s">
        <v>448</v>
      </c>
      <c r="F355" s="476">
        <f>F356</f>
        <v>400</v>
      </c>
      <c r="G355" s="482">
        <v>-400</v>
      </c>
      <c r="H355" s="476">
        <f t="shared" ref="H355:H357" si="64">SUM(F355:G355)</f>
        <v>0</v>
      </c>
      <c r="I355" s="38">
        <f>I356</f>
        <v>0</v>
      </c>
      <c r="J355" s="38"/>
      <c r="K355" s="38">
        <f>K356</f>
        <v>0</v>
      </c>
      <c r="L355" s="38">
        <f>L356</f>
        <v>0</v>
      </c>
      <c r="M355" s="38"/>
      <c r="N355" s="38">
        <f>N356</f>
        <v>0</v>
      </c>
    </row>
    <row r="356" spans="1:14" ht="26.25" x14ac:dyDescent="0.25">
      <c r="A356" s="229"/>
      <c r="B356" s="7"/>
      <c r="C356" s="317"/>
      <c r="D356" s="32" t="s">
        <v>17</v>
      </c>
      <c r="E356" s="26" t="s">
        <v>18</v>
      </c>
      <c r="F356" s="476">
        <v>400</v>
      </c>
      <c r="G356" s="482">
        <v>-400</v>
      </c>
      <c r="H356" s="476">
        <f t="shared" si="64"/>
        <v>0</v>
      </c>
      <c r="I356" s="38">
        <v>0</v>
      </c>
      <c r="J356" s="38"/>
      <c r="K356" s="38">
        <v>0</v>
      </c>
      <c r="L356" s="38">
        <v>0</v>
      </c>
      <c r="M356" s="38"/>
      <c r="N356" s="38">
        <v>0</v>
      </c>
    </row>
    <row r="357" spans="1:14" x14ac:dyDescent="0.25">
      <c r="A357" s="229"/>
      <c r="B357" s="7"/>
      <c r="C357" s="317"/>
      <c r="D357" s="32"/>
      <c r="E357" s="26" t="s">
        <v>255</v>
      </c>
      <c r="F357" s="476">
        <v>380</v>
      </c>
      <c r="G357" s="482">
        <v>-380</v>
      </c>
      <c r="H357" s="476">
        <f t="shared" si="64"/>
        <v>0</v>
      </c>
      <c r="I357" s="38">
        <v>0</v>
      </c>
      <c r="J357" s="38"/>
      <c r="K357" s="38">
        <v>0</v>
      </c>
      <c r="L357" s="38">
        <v>0</v>
      </c>
      <c r="M357" s="38"/>
      <c r="N357" s="38">
        <v>0</v>
      </c>
    </row>
    <row r="358" spans="1:14" x14ac:dyDescent="0.25">
      <c r="A358" s="229"/>
      <c r="B358" s="7"/>
      <c r="C358" s="317"/>
      <c r="D358" s="32"/>
      <c r="E358" s="26" t="s">
        <v>192</v>
      </c>
      <c r="F358" s="476">
        <v>20</v>
      </c>
      <c r="G358" s="482">
        <v>-20</v>
      </c>
      <c r="H358" s="476">
        <f>SUM(F358:G358)</f>
        <v>0</v>
      </c>
      <c r="I358" s="38">
        <v>0</v>
      </c>
      <c r="J358" s="38"/>
      <c r="K358" s="38">
        <v>0</v>
      </c>
      <c r="L358" s="38"/>
      <c r="M358" s="38"/>
      <c r="N358" s="38"/>
    </row>
    <row r="359" spans="1:14" ht="26.25" x14ac:dyDescent="0.25">
      <c r="A359" s="229"/>
      <c r="B359" s="7"/>
      <c r="C359" s="259" t="s">
        <v>445</v>
      </c>
      <c r="D359" s="32"/>
      <c r="E359" s="26" t="s">
        <v>446</v>
      </c>
      <c r="F359" s="476">
        <v>0</v>
      </c>
      <c r="G359" s="482"/>
      <c r="H359" s="476">
        <v>0</v>
      </c>
      <c r="I359" s="38">
        <f>I360</f>
        <v>1200</v>
      </c>
      <c r="J359" s="38"/>
      <c r="K359" s="38">
        <f>K360</f>
        <v>1200</v>
      </c>
      <c r="L359" s="38">
        <f>L360</f>
        <v>0</v>
      </c>
      <c r="M359" s="38"/>
      <c r="N359" s="38">
        <f>N360</f>
        <v>0</v>
      </c>
    </row>
    <row r="360" spans="1:14" ht="26.25" x14ac:dyDescent="0.25">
      <c r="A360" s="229"/>
      <c r="B360" s="7"/>
      <c r="C360" s="317"/>
      <c r="D360" s="32" t="s">
        <v>17</v>
      </c>
      <c r="E360" s="26" t="s">
        <v>18</v>
      </c>
      <c r="F360" s="476">
        <v>0</v>
      </c>
      <c r="G360" s="476"/>
      <c r="H360" s="476">
        <v>0</v>
      </c>
      <c r="I360" s="38">
        <v>1200</v>
      </c>
      <c r="J360" s="38"/>
      <c r="K360" s="38">
        <v>1200</v>
      </c>
      <c r="L360" s="38">
        <v>0</v>
      </c>
      <c r="M360" s="38"/>
      <c r="N360" s="38">
        <v>0</v>
      </c>
    </row>
    <row r="361" spans="1:14" x14ac:dyDescent="0.25">
      <c r="A361" s="229"/>
      <c r="B361" s="7"/>
      <c r="C361" s="317"/>
      <c r="D361" s="32"/>
      <c r="E361" s="26" t="s">
        <v>255</v>
      </c>
      <c r="F361" s="476">
        <v>0</v>
      </c>
      <c r="G361" s="476"/>
      <c r="H361" s="476">
        <v>0</v>
      </c>
      <c r="I361" s="38">
        <v>1140</v>
      </c>
      <c r="J361" s="38"/>
      <c r="K361" s="38">
        <v>1140</v>
      </c>
      <c r="L361" s="38">
        <v>0</v>
      </c>
      <c r="M361" s="38"/>
      <c r="N361" s="38">
        <v>0</v>
      </c>
    </row>
    <row r="362" spans="1:14" x14ac:dyDescent="0.25">
      <c r="A362" s="229"/>
      <c r="B362" s="7"/>
      <c r="C362" s="317"/>
      <c r="D362" s="32"/>
      <c r="E362" s="28" t="s">
        <v>192</v>
      </c>
      <c r="F362" s="476"/>
      <c r="G362" s="476"/>
      <c r="H362" s="476">
        <v>0</v>
      </c>
      <c r="I362" s="38">
        <v>60</v>
      </c>
      <c r="J362" s="38"/>
      <c r="K362" s="38">
        <v>60</v>
      </c>
      <c r="L362" s="38">
        <v>0</v>
      </c>
      <c r="M362" s="38"/>
      <c r="N362" s="38">
        <v>0</v>
      </c>
    </row>
    <row r="363" spans="1:14" ht="39" x14ac:dyDescent="0.25">
      <c r="A363" s="229"/>
      <c r="B363" s="7"/>
      <c r="C363" s="192" t="s">
        <v>1060</v>
      </c>
      <c r="D363" s="157"/>
      <c r="E363" s="2" t="s">
        <v>1061</v>
      </c>
      <c r="F363" s="469">
        <f>F364</f>
        <v>675</v>
      </c>
      <c r="G363" s="470">
        <f>G364</f>
        <v>0.159</v>
      </c>
      <c r="H363" s="469">
        <f>H364</f>
        <v>675.15899999999999</v>
      </c>
      <c r="I363" s="38"/>
      <c r="J363" s="38"/>
      <c r="K363" s="38">
        <v>0</v>
      </c>
      <c r="L363" s="38"/>
      <c r="M363" s="38"/>
      <c r="N363" s="38">
        <v>0</v>
      </c>
    </row>
    <row r="364" spans="1:14" ht="26.25" x14ac:dyDescent="0.25">
      <c r="A364" s="229"/>
      <c r="B364" s="7"/>
      <c r="C364" s="158"/>
      <c r="D364" s="157" t="s">
        <v>17</v>
      </c>
      <c r="E364" s="159" t="s">
        <v>18</v>
      </c>
      <c r="F364" s="469">
        <f>F365+F366</f>
        <v>675</v>
      </c>
      <c r="G364" s="470">
        <f>G365+G366</f>
        <v>0.159</v>
      </c>
      <c r="H364" s="469">
        <f>H365+H366</f>
        <v>675.15899999999999</v>
      </c>
      <c r="I364" s="38"/>
      <c r="J364" s="38"/>
      <c r="K364" s="38">
        <v>0</v>
      </c>
      <c r="L364" s="38"/>
      <c r="M364" s="38"/>
      <c r="N364" s="38">
        <v>0</v>
      </c>
    </row>
    <row r="365" spans="1:14" x14ac:dyDescent="0.25">
      <c r="A365" s="229"/>
      <c r="B365" s="7"/>
      <c r="C365" s="158"/>
      <c r="D365" s="157"/>
      <c r="E365" s="159" t="s">
        <v>255</v>
      </c>
      <c r="F365" s="469">
        <v>506.3</v>
      </c>
      <c r="G365" s="470">
        <v>6.9000000000000006E-2</v>
      </c>
      <c r="H365" s="469">
        <f>SUM(F365:G365)</f>
        <v>506.36900000000003</v>
      </c>
      <c r="I365" s="38"/>
      <c r="J365" s="38"/>
      <c r="K365" s="38">
        <v>0</v>
      </c>
      <c r="L365" s="38"/>
      <c r="M365" s="38"/>
      <c r="N365" s="38">
        <v>0</v>
      </c>
    </row>
    <row r="366" spans="1:14" x14ac:dyDescent="0.25">
      <c r="A366" s="229"/>
      <c r="B366" s="7"/>
      <c r="C366" s="158"/>
      <c r="D366" s="157"/>
      <c r="E366" s="159" t="s">
        <v>192</v>
      </c>
      <c r="F366" s="469">
        <v>168.7</v>
      </c>
      <c r="G366" s="470">
        <v>0.09</v>
      </c>
      <c r="H366" s="469">
        <f>SUM(F366:G366)</f>
        <v>168.79</v>
      </c>
      <c r="I366" s="38"/>
      <c r="J366" s="38"/>
      <c r="K366" s="38">
        <v>0</v>
      </c>
      <c r="L366" s="38"/>
      <c r="M366" s="38"/>
      <c r="N366" s="38">
        <v>0</v>
      </c>
    </row>
    <row r="367" spans="1:14" ht="25.5" x14ac:dyDescent="0.25">
      <c r="A367" s="244"/>
      <c r="B367" s="34"/>
      <c r="C367" s="245" t="s">
        <v>476</v>
      </c>
      <c r="D367" s="34"/>
      <c r="E367" s="253" t="s">
        <v>477</v>
      </c>
      <c r="F367" s="494">
        <f>F368+F370+F376+F379+F372</f>
        <v>1731.7999999999997</v>
      </c>
      <c r="G367" s="494">
        <f>G368+G370+G376+G379+G372</f>
        <v>6.0000000000000001E-3</v>
      </c>
      <c r="H367" s="494">
        <f>H368+H370+H376+H379+H372</f>
        <v>1731.806</v>
      </c>
      <c r="I367" s="247">
        <f>I368+I370</f>
        <v>454.5</v>
      </c>
      <c r="J367" s="247"/>
      <c r="K367" s="247">
        <f>K368+K370</f>
        <v>454.5</v>
      </c>
      <c r="L367" s="247">
        <f>L368+L370</f>
        <v>454.5</v>
      </c>
      <c r="M367" s="247"/>
      <c r="N367" s="247">
        <f>N368+N370</f>
        <v>454.5</v>
      </c>
    </row>
    <row r="368" spans="1:14" ht="25.5" x14ac:dyDescent="0.25">
      <c r="A368" s="229"/>
      <c r="B368" s="7"/>
      <c r="C368" s="259" t="s">
        <v>488</v>
      </c>
      <c r="D368" s="27"/>
      <c r="E368" s="28" t="s">
        <v>468</v>
      </c>
      <c r="F368" s="472">
        <f>F369</f>
        <v>471.9</v>
      </c>
      <c r="G368" s="472">
        <f>G369</f>
        <v>0</v>
      </c>
      <c r="H368" s="472">
        <f>H369</f>
        <v>471.9</v>
      </c>
      <c r="I368" s="29">
        <v>454.5</v>
      </c>
      <c r="J368" s="29"/>
      <c r="K368" s="29">
        <v>454.5</v>
      </c>
      <c r="L368" s="29">
        <v>454.5</v>
      </c>
      <c r="M368" s="29"/>
      <c r="N368" s="29">
        <v>454.5</v>
      </c>
    </row>
    <row r="369" spans="1:14" ht="25.5" x14ac:dyDescent="0.25">
      <c r="A369" s="229"/>
      <c r="B369" s="7"/>
      <c r="C369" s="317"/>
      <c r="D369" s="27" t="s">
        <v>17</v>
      </c>
      <c r="E369" s="28" t="s">
        <v>18</v>
      </c>
      <c r="F369" s="472">
        <v>471.9</v>
      </c>
      <c r="G369" s="472"/>
      <c r="H369" s="472">
        <f>SUM(F369:G369)</f>
        <v>471.9</v>
      </c>
      <c r="I369" s="29">
        <v>454.5</v>
      </c>
      <c r="J369" s="29"/>
      <c r="K369" s="29">
        <v>454.5</v>
      </c>
      <c r="L369" s="29">
        <v>454.5</v>
      </c>
      <c r="M369" s="29"/>
      <c r="N369" s="29">
        <v>454.5</v>
      </c>
    </row>
    <row r="370" spans="1:14" x14ac:dyDescent="0.25">
      <c r="A370" s="229"/>
      <c r="B370" s="7"/>
      <c r="C370" s="157" t="s">
        <v>793</v>
      </c>
      <c r="D370" s="192"/>
      <c r="E370" s="188" t="s">
        <v>1023</v>
      </c>
      <c r="F370" s="469">
        <f>F371</f>
        <v>62.8</v>
      </c>
      <c r="G370" s="469">
        <f>G371</f>
        <v>0</v>
      </c>
      <c r="H370" s="469">
        <f>H371</f>
        <v>62.8</v>
      </c>
      <c r="I370" s="29">
        <v>0</v>
      </c>
      <c r="J370" s="29"/>
      <c r="K370" s="29">
        <v>0</v>
      </c>
      <c r="L370" s="29">
        <v>0</v>
      </c>
      <c r="M370" s="29"/>
      <c r="N370" s="29">
        <v>0</v>
      </c>
    </row>
    <row r="371" spans="1:14" ht="25.5" x14ac:dyDescent="0.25">
      <c r="A371" s="229"/>
      <c r="B371" s="7"/>
      <c r="C371" s="157"/>
      <c r="D371" s="174" t="s">
        <v>17</v>
      </c>
      <c r="E371" s="175" t="s">
        <v>187</v>
      </c>
      <c r="F371" s="469">
        <v>62.8</v>
      </c>
      <c r="G371" s="469"/>
      <c r="H371" s="469">
        <f>SUM(F371:G371)</f>
        <v>62.8</v>
      </c>
      <c r="I371" s="29">
        <v>0</v>
      </c>
      <c r="J371" s="29"/>
      <c r="K371" s="29">
        <v>0</v>
      </c>
      <c r="L371" s="29">
        <v>0</v>
      </c>
      <c r="M371" s="29"/>
      <c r="N371" s="29">
        <v>0</v>
      </c>
    </row>
    <row r="372" spans="1:14" ht="51.75" x14ac:dyDescent="0.25">
      <c r="A372" s="229"/>
      <c r="B372" s="7"/>
      <c r="C372" s="157" t="s">
        <v>1075</v>
      </c>
      <c r="D372" s="192"/>
      <c r="E372" s="6" t="s">
        <v>1074</v>
      </c>
      <c r="F372" s="469">
        <f>F373</f>
        <v>1197.0999999999999</v>
      </c>
      <c r="G372" s="470">
        <f>G373</f>
        <v>6.0000000000000001E-3</v>
      </c>
      <c r="H372" s="536">
        <f>H373</f>
        <v>1197.106</v>
      </c>
      <c r="I372" s="29">
        <v>0</v>
      </c>
      <c r="J372" s="29"/>
      <c r="K372" s="29">
        <v>0</v>
      </c>
      <c r="L372" s="29">
        <v>0</v>
      </c>
      <c r="M372" s="29"/>
      <c r="N372" s="29">
        <v>0</v>
      </c>
    </row>
    <row r="373" spans="1:14" ht="25.5" x14ac:dyDescent="0.25">
      <c r="A373" s="229"/>
      <c r="B373" s="7"/>
      <c r="C373" s="157"/>
      <c r="D373" s="174" t="s">
        <v>186</v>
      </c>
      <c r="E373" s="175" t="s">
        <v>187</v>
      </c>
      <c r="F373" s="469">
        <f>F374+F375</f>
        <v>1197.0999999999999</v>
      </c>
      <c r="G373" s="470">
        <f>G374+G375</f>
        <v>6.0000000000000001E-3</v>
      </c>
      <c r="H373" s="536">
        <f>H374+H375</f>
        <v>1197.106</v>
      </c>
      <c r="I373" s="29">
        <v>0</v>
      </c>
      <c r="J373" s="29"/>
      <c r="K373" s="29">
        <v>0</v>
      </c>
      <c r="L373" s="29">
        <v>0</v>
      </c>
      <c r="M373" s="29"/>
      <c r="N373" s="29">
        <v>0</v>
      </c>
    </row>
    <row r="374" spans="1:14" x14ac:dyDescent="0.25">
      <c r="A374" s="229"/>
      <c r="B374" s="7"/>
      <c r="C374" s="157"/>
      <c r="D374" s="174"/>
      <c r="E374" s="26" t="s">
        <v>255</v>
      </c>
      <c r="F374" s="469">
        <v>1197</v>
      </c>
      <c r="G374" s="470">
        <v>-1.4E-2</v>
      </c>
      <c r="H374" s="536">
        <f>SUM(F374:G374)</f>
        <v>1196.9860000000001</v>
      </c>
      <c r="I374" s="29"/>
      <c r="J374" s="29"/>
      <c r="K374" s="29">
        <v>0</v>
      </c>
      <c r="L374" s="29"/>
      <c r="M374" s="29"/>
      <c r="N374" s="29">
        <v>0</v>
      </c>
    </row>
    <row r="375" spans="1:14" x14ac:dyDescent="0.25">
      <c r="A375" s="229"/>
      <c r="B375" s="7"/>
      <c r="C375" s="157"/>
      <c r="D375" s="174"/>
      <c r="E375" s="207" t="s">
        <v>192</v>
      </c>
      <c r="F375" s="469">
        <v>0.1</v>
      </c>
      <c r="G375" s="470">
        <v>0.02</v>
      </c>
      <c r="H375" s="536">
        <f>SUM(F375:G375)</f>
        <v>0.12000000000000001</v>
      </c>
      <c r="I375" s="29">
        <v>0</v>
      </c>
      <c r="J375" s="29"/>
      <c r="K375" s="29">
        <v>0</v>
      </c>
      <c r="L375" s="29">
        <v>0</v>
      </c>
      <c r="M375" s="29"/>
      <c r="N375" s="29">
        <v>0</v>
      </c>
    </row>
    <row r="376" spans="1:14" ht="38.25" x14ac:dyDescent="0.25">
      <c r="A376" s="229"/>
      <c r="B376" s="7"/>
      <c r="C376" s="157" t="s">
        <v>1020</v>
      </c>
      <c r="D376" s="192"/>
      <c r="E376" s="188" t="s">
        <v>1024</v>
      </c>
      <c r="F376" s="469">
        <f>F377</f>
        <v>0</v>
      </c>
      <c r="G376" s="469"/>
      <c r="H376" s="469">
        <f>H377</f>
        <v>0</v>
      </c>
      <c r="I376" s="38">
        <v>0</v>
      </c>
      <c r="J376" s="38"/>
      <c r="K376" s="38">
        <v>0</v>
      </c>
      <c r="L376" s="38">
        <v>0</v>
      </c>
      <c r="M376" s="38"/>
      <c r="N376" s="38">
        <v>0</v>
      </c>
    </row>
    <row r="377" spans="1:14" ht="25.5" x14ac:dyDescent="0.25">
      <c r="A377" s="229"/>
      <c r="B377" s="7"/>
      <c r="C377" s="157"/>
      <c r="D377" s="174" t="s">
        <v>186</v>
      </c>
      <c r="E377" s="175" t="s">
        <v>187</v>
      </c>
      <c r="F377" s="469">
        <v>0</v>
      </c>
      <c r="G377" s="469"/>
      <c r="H377" s="469">
        <v>0</v>
      </c>
      <c r="I377" s="29">
        <v>0</v>
      </c>
      <c r="J377" s="29"/>
      <c r="K377" s="29">
        <v>0</v>
      </c>
      <c r="L377" s="29">
        <v>0</v>
      </c>
      <c r="M377" s="29"/>
      <c r="N377" s="29">
        <v>0</v>
      </c>
    </row>
    <row r="378" spans="1:14" x14ac:dyDescent="0.25">
      <c r="A378" s="229"/>
      <c r="B378" s="7"/>
      <c r="C378" s="157"/>
      <c r="D378" s="174"/>
      <c r="E378" s="207" t="s">
        <v>192</v>
      </c>
      <c r="F378" s="469">
        <v>0</v>
      </c>
      <c r="G378" s="469"/>
      <c r="H378" s="469">
        <v>0</v>
      </c>
      <c r="I378" s="29">
        <v>0</v>
      </c>
      <c r="J378" s="29"/>
      <c r="K378" s="29">
        <v>0</v>
      </c>
      <c r="L378" s="29">
        <v>0</v>
      </c>
      <c r="M378" s="29"/>
      <c r="N378" s="29">
        <v>0</v>
      </c>
    </row>
    <row r="379" spans="1:14" ht="25.5" x14ac:dyDescent="0.25">
      <c r="A379" s="229"/>
      <c r="B379" s="7"/>
      <c r="C379" s="157" t="s">
        <v>1021</v>
      </c>
      <c r="D379" s="192"/>
      <c r="E379" s="188" t="s">
        <v>1022</v>
      </c>
      <c r="F379" s="469">
        <f t="shared" ref="F379:H380" si="65">F380</f>
        <v>0</v>
      </c>
      <c r="G379" s="469"/>
      <c r="H379" s="469">
        <f t="shared" si="65"/>
        <v>0</v>
      </c>
      <c r="I379" s="29">
        <v>0</v>
      </c>
      <c r="J379" s="29"/>
      <c r="K379" s="29">
        <v>0</v>
      </c>
      <c r="L379" s="29">
        <v>0</v>
      </c>
      <c r="M379" s="29"/>
      <c r="N379" s="29">
        <v>0</v>
      </c>
    </row>
    <row r="380" spans="1:14" ht="25.5" x14ac:dyDescent="0.25">
      <c r="A380" s="229"/>
      <c r="B380" s="7"/>
      <c r="C380" s="157"/>
      <c r="D380" s="174" t="s">
        <v>17</v>
      </c>
      <c r="E380" s="188" t="s">
        <v>18</v>
      </c>
      <c r="F380" s="469">
        <f t="shared" si="65"/>
        <v>0</v>
      </c>
      <c r="G380" s="469"/>
      <c r="H380" s="469">
        <f t="shared" si="65"/>
        <v>0</v>
      </c>
      <c r="I380" s="29">
        <v>0</v>
      </c>
      <c r="J380" s="29"/>
      <c r="K380" s="29">
        <v>0</v>
      </c>
      <c r="L380" s="29">
        <v>0</v>
      </c>
      <c r="M380" s="29"/>
      <c r="N380" s="29">
        <v>0</v>
      </c>
    </row>
    <row r="381" spans="1:14" x14ac:dyDescent="0.25">
      <c r="A381" s="229"/>
      <c r="B381" s="7"/>
      <c r="C381" s="157"/>
      <c r="D381" s="174"/>
      <c r="E381" s="207" t="s">
        <v>192</v>
      </c>
      <c r="F381" s="469">
        <v>0</v>
      </c>
      <c r="G381" s="469"/>
      <c r="H381" s="469">
        <f>SUM(F381:G381)</f>
        <v>0</v>
      </c>
      <c r="I381" s="29">
        <v>0</v>
      </c>
      <c r="J381" s="29"/>
      <c r="K381" s="29">
        <v>0</v>
      </c>
      <c r="L381" s="29">
        <v>0</v>
      </c>
      <c r="M381" s="29"/>
      <c r="N381" s="29">
        <v>0</v>
      </c>
    </row>
    <row r="382" spans="1:14" ht="25.5" x14ac:dyDescent="0.25">
      <c r="A382" s="244"/>
      <c r="B382" s="34"/>
      <c r="C382" s="34" t="s">
        <v>1136</v>
      </c>
      <c r="D382" s="34"/>
      <c r="E382" s="253" t="s">
        <v>1137</v>
      </c>
      <c r="F382" s="507">
        <f>F383+F389+F385+F387</f>
        <v>1930.5</v>
      </c>
      <c r="G382" s="507">
        <f>G389+G383+G385+G387</f>
        <v>-24.202000000000002</v>
      </c>
      <c r="H382" s="507">
        <f>H383+H389+H385+H387</f>
        <v>1906.2979999999998</v>
      </c>
      <c r="I382" s="247"/>
      <c r="J382" s="247"/>
      <c r="K382" s="247">
        <v>0</v>
      </c>
      <c r="L382" s="247"/>
      <c r="M382" s="247"/>
      <c r="N382" s="247">
        <v>0</v>
      </c>
    </row>
    <row r="383" spans="1:14" ht="26.25" x14ac:dyDescent="0.25">
      <c r="A383" s="229"/>
      <c r="B383" s="7"/>
      <c r="C383" s="157" t="s">
        <v>1139</v>
      </c>
      <c r="D383" s="174"/>
      <c r="E383" s="207" t="s">
        <v>1138</v>
      </c>
      <c r="F383" s="469">
        <v>0</v>
      </c>
      <c r="G383" s="469">
        <f>G384</f>
        <v>0</v>
      </c>
      <c r="H383" s="469">
        <v>0</v>
      </c>
      <c r="I383" s="29"/>
      <c r="J383" s="29"/>
      <c r="K383" s="29">
        <v>0</v>
      </c>
      <c r="L383" s="29"/>
      <c r="M383" s="29"/>
      <c r="N383" s="29">
        <v>0</v>
      </c>
    </row>
    <row r="384" spans="1:14" ht="25.5" x14ac:dyDescent="0.25">
      <c r="A384" s="229"/>
      <c r="B384" s="7"/>
      <c r="C384" s="157"/>
      <c r="D384" s="174" t="s">
        <v>64</v>
      </c>
      <c r="E384" s="28" t="s">
        <v>65</v>
      </c>
      <c r="F384" s="469">
        <v>0</v>
      </c>
      <c r="G384" s="469">
        <v>0</v>
      </c>
      <c r="H384" s="469">
        <v>0</v>
      </c>
      <c r="I384" s="29"/>
      <c r="J384" s="29"/>
      <c r="K384" s="29">
        <v>0</v>
      </c>
      <c r="L384" s="29"/>
      <c r="M384" s="29"/>
      <c r="N384" s="29">
        <v>0</v>
      </c>
    </row>
    <row r="385" spans="1:14" ht="26.25" x14ac:dyDescent="0.25">
      <c r="A385" s="229"/>
      <c r="B385" s="7"/>
      <c r="C385" s="449" t="s">
        <v>1139</v>
      </c>
      <c r="D385" s="174"/>
      <c r="E385" s="207" t="s">
        <v>1175</v>
      </c>
      <c r="F385" s="469">
        <f>F386</f>
        <v>458.4</v>
      </c>
      <c r="G385" s="469"/>
      <c r="H385" s="469">
        <f>H386</f>
        <v>458.4</v>
      </c>
      <c r="I385" s="29"/>
      <c r="J385" s="29"/>
      <c r="K385" s="29">
        <v>0</v>
      </c>
      <c r="L385" s="29"/>
      <c r="M385" s="29"/>
      <c r="N385" s="29">
        <v>0</v>
      </c>
    </row>
    <row r="386" spans="1:14" ht="25.5" x14ac:dyDescent="0.25">
      <c r="A386" s="229"/>
      <c r="B386" s="7"/>
      <c r="C386" s="449"/>
      <c r="D386" s="174" t="s">
        <v>64</v>
      </c>
      <c r="E386" s="28" t="s">
        <v>65</v>
      </c>
      <c r="F386" s="469">
        <v>458.4</v>
      </c>
      <c r="G386" s="469"/>
      <c r="H386" s="469">
        <v>458.4</v>
      </c>
      <c r="I386" s="29"/>
      <c r="J386" s="29"/>
      <c r="K386" s="29">
        <v>0</v>
      </c>
      <c r="L386" s="29"/>
      <c r="M386" s="29"/>
      <c r="N386" s="29">
        <v>0</v>
      </c>
    </row>
    <row r="387" spans="1:14" x14ac:dyDescent="0.25">
      <c r="A387" s="229"/>
      <c r="B387" s="7"/>
      <c r="C387" s="449" t="s">
        <v>1178</v>
      </c>
      <c r="D387" s="174"/>
      <c r="E387" s="207" t="s">
        <v>1177</v>
      </c>
      <c r="F387" s="469">
        <f>F388</f>
        <v>167</v>
      </c>
      <c r="G387" s="469"/>
      <c r="H387" s="469">
        <f>H388</f>
        <v>167</v>
      </c>
      <c r="I387" s="29"/>
      <c r="J387" s="29"/>
      <c r="K387" s="29">
        <v>0</v>
      </c>
      <c r="L387" s="29"/>
      <c r="M387" s="29"/>
      <c r="N387" s="29">
        <v>0</v>
      </c>
    </row>
    <row r="388" spans="1:14" ht="25.5" x14ac:dyDescent="0.25">
      <c r="A388" s="229"/>
      <c r="B388" s="7"/>
      <c r="C388" s="449"/>
      <c r="D388" s="174" t="s">
        <v>64</v>
      </c>
      <c r="E388" s="28" t="s">
        <v>65</v>
      </c>
      <c r="F388" s="469">
        <v>167</v>
      </c>
      <c r="G388" s="470"/>
      <c r="H388" s="469">
        <v>167</v>
      </c>
      <c r="I388" s="29"/>
      <c r="J388" s="29"/>
      <c r="K388" s="29">
        <v>0</v>
      </c>
      <c r="L388" s="29"/>
      <c r="M388" s="29"/>
      <c r="N388" s="29">
        <v>0</v>
      </c>
    </row>
    <row r="389" spans="1:14" ht="25.5" x14ac:dyDescent="0.25">
      <c r="A389" s="229"/>
      <c r="B389" s="7"/>
      <c r="C389" s="157" t="s">
        <v>1155</v>
      </c>
      <c r="D389" s="192"/>
      <c r="E389" s="188" t="s">
        <v>1022</v>
      </c>
      <c r="F389" s="469">
        <f>F390</f>
        <v>1305.0999999999999</v>
      </c>
      <c r="G389" s="470">
        <f>G390</f>
        <v>-24.202000000000002</v>
      </c>
      <c r="H389" s="469">
        <f>H390</f>
        <v>1280.8979999999999</v>
      </c>
      <c r="I389" s="29"/>
      <c r="J389" s="29"/>
      <c r="K389" s="29">
        <v>0</v>
      </c>
      <c r="L389" s="29"/>
      <c r="M389" s="29"/>
      <c r="N389" s="29">
        <v>0</v>
      </c>
    </row>
    <row r="390" spans="1:14" ht="25.5" x14ac:dyDescent="0.25">
      <c r="A390" s="229"/>
      <c r="B390" s="7"/>
      <c r="C390" s="157"/>
      <c r="D390" s="174" t="s">
        <v>64</v>
      </c>
      <c r="E390" s="188" t="s">
        <v>18</v>
      </c>
      <c r="F390" s="469">
        <f>F392+F391</f>
        <v>1305.0999999999999</v>
      </c>
      <c r="G390" s="470">
        <f>G391+G392</f>
        <v>-24.202000000000002</v>
      </c>
      <c r="H390" s="469">
        <f>H392+H391</f>
        <v>1280.8979999999999</v>
      </c>
      <c r="I390" s="29"/>
      <c r="J390" s="29"/>
      <c r="K390" s="29">
        <v>0</v>
      </c>
      <c r="L390" s="29"/>
      <c r="M390" s="29"/>
      <c r="N390" s="29">
        <v>0</v>
      </c>
    </row>
    <row r="391" spans="1:14" x14ac:dyDescent="0.25">
      <c r="A391" s="229"/>
      <c r="B391" s="7"/>
      <c r="C391" s="449"/>
      <c r="D391" s="174"/>
      <c r="E391" s="28" t="s">
        <v>255</v>
      </c>
      <c r="F391" s="469">
        <v>1239.8</v>
      </c>
      <c r="G391" s="470">
        <v>-0.05</v>
      </c>
      <c r="H391" s="469">
        <f>SUM(F391:G391)</f>
        <v>1239.75</v>
      </c>
      <c r="I391" s="29"/>
      <c r="J391" s="29"/>
      <c r="K391" s="29">
        <v>0</v>
      </c>
      <c r="L391" s="29"/>
      <c r="M391" s="29"/>
      <c r="N391" s="29">
        <v>0</v>
      </c>
    </row>
    <row r="392" spans="1:14" x14ac:dyDescent="0.25">
      <c r="A392" s="229"/>
      <c r="B392" s="7"/>
      <c r="C392" s="157"/>
      <c r="D392" s="174"/>
      <c r="E392" s="207" t="s">
        <v>192</v>
      </c>
      <c r="F392" s="469">
        <v>65.3</v>
      </c>
      <c r="G392" s="470">
        <v>-24.152000000000001</v>
      </c>
      <c r="H392" s="469">
        <f>SUM(F392:G392)</f>
        <v>41.147999999999996</v>
      </c>
      <c r="I392" s="29"/>
      <c r="J392" s="29"/>
      <c r="K392" s="29">
        <v>0</v>
      </c>
      <c r="L392" s="29"/>
      <c r="M392" s="29"/>
      <c r="N392" s="29">
        <v>0</v>
      </c>
    </row>
    <row r="393" spans="1:14" x14ac:dyDescent="0.25">
      <c r="A393" s="229"/>
      <c r="B393" s="7"/>
      <c r="C393" s="230" t="s">
        <v>825</v>
      </c>
      <c r="D393" s="7"/>
      <c r="E393" s="231" t="s">
        <v>1114</v>
      </c>
      <c r="F393" s="491">
        <f>F394</f>
        <v>900</v>
      </c>
      <c r="G393" s="491">
        <f>G394</f>
        <v>81.5</v>
      </c>
      <c r="H393" s="491">
        <f>H394</f>
        <v>981.5</v>
      </c>
      <c r="I393" s="232">
        <f>I394</f>
        <v>979.5</v>
      </c>
      <c r="J393" s="232"/>
      <c r="K393" s="232">
        <f>K394</f>
        <v>979.5</v>
      </c>
      <c r="L393" s="232">
        <f>L394</f>
        <v>0</v>
      </c>
      <c r="M393" s="232"/>
      <c r="N393" s="232">
        <f>N394</f>
        <v>0</v>
      </c>
    </row>
    <row r="394" spans="1:14" ht="38.25" x14ac:dyDescent="0.25">
      <c r="A394" s="229"/>
      <c r="B394" s="7"/>
      <c r="C394" s="230" t="s">
        <v>383</v>
      </c>
      <c r="D394" s="7"/>
      <c r="E394" s="231" t="s">
        <v>879</v>
      </c>
      <c r="F394" s="491">
        <f>F395</f>
        <v>900</v>
      </c>
      <c r="G394" s="491">
        <f>G397</f>
        <v>81.5</v>
      </c>
      <c r="H394" s="491">
        <f>H395+H397</f>
        <v>981.5</v>
      </c>
      <c r="I394" s="232">
        <f t="shared" ref="I394" si="66">I395</f>
        <v>979.5</v>
      </c>
      <c r="J394" s="232"/>
      <c r="K394" s="232">
        <f t="shared" ref="K394:L394" si="67">K395</f>
        <v>979.5</v>
      </c>
      <c r="L394" s="232">
        <f t="shared" si="67"/>
        <v>0</v>
      </c>
      <c r="M394" s="232"/>
      <c r="N394" s="232">
        <f>N395</f>
        <v>0</v>
      </c>
    </row>
    <row r="395" spans="1:14" ht="25.5" x14ac:dyDescent="0.25">
      <c r="A395" s="225"/>
      <c r="B395" s="27"/>
      <c r="C395" s="248" t="s">
        <v>399</v>
      </c>
      <c r="D395" s="27"/>
      <c r="E395" s="28" t="s">
        <v>400</v>
      </c>
      <c r="F395" s="472">
        <f>F396</f>
        <v>900</v>
      </c>
      <c r="G395" s="472"/>
      <c r="H395" s="472">
        <f>H396</f>
        <v>900</v>
      </c>
      <c r="I395" s="29">
        <f>I396</f>
        <v>979.5</v>
      </c>
      <c r="J395" s="29"/>
      <c r="K395" s="29">
        <f>K396</f>
        <v>979.5</v>
      </c>
      <c r="L395" s="29">
        <f>L396</f>
        <v>0</v>
      </c>
      <c r="M395" s="29"/>
      <c r="N395" s="29">
        <f>N396</f>
        <v>0</v>
      </c>
    </row>
    <row r="396" spans="1:14" x14ac:dyDescent="0.25">
      <c r="A396" s="225"/>
      <c r="B396" s="27"/>
      <c r="C396" s="248"/>
      <c r="D396" s="27" t="s">
        <v>32</v>
      </c>
      <c r="E396" s="28" t="s">
        <v>33</v>
      </c>
      <c r="F396" s="472">
        <v>900</v>
      </c>
      <c r="G396" s="472"/>
      <c r="H396" s="472">
        <v>900</v>
      </c>
      <c r="I396" s="29">
        <v>979.5</v>
      </c>
      <c r="J396" s="29"/>
      <c r="K396" s="29">
        <v>979.5</v>
      </c>
      <c r="L396" s="29">
        <v>0</v>
      </c>
      <c r="M396" s="29"/>
      <c r="N396" s="29">
        <v>0</v>
      </c>
    </row>
    <row r="397" spans="1:14" ht="26.25" x14ac:dyDescent="0.25">
      <c r="A397" s="225"/>
      <c r="B397" s="27"/>
      <c r="C397" s="520" t="s">
        <v>398</v>
      </c>
      <c r="D397" s="520"/>
      <c r="E397" s="159" t="s">
        <v>809</v>
      </c>
      <c r="F397" s="472"/>
      <c r="G397" s="472">
        <f>G398</f>
        <v>81.5</v>
      </c>
      <c r="H397" s="472">
        <f>H398</f>
        <v>81.5</v>
      </c>
      <c r="I397" s="29"/>
      <c r="J397" s="29"/>
      <c r="K397" s="29"/>
      <c r="L397" s="29"/>
      <c r="M397" s="29"/>
      <c r="N397" s="29"/>
    </row>
    <row r="398" spans="1:14" ht="25.5" x14ac:dyDescent="0.25">
      <c r="A398" s="225"/>
      <c r="B398" s="27"/>
      <c r="C398" s="520"/>
      <c r="D398" s="520" t="s">
        <v>17</v>
      </c>
      <c r="E398" s="30" t="s">
        <v>18</v>
      </c>
      <c r="F398" s="472"/>
      <c r="G398" s="472">
        <v>81.5</v>
      </c>
      <c r="H398" s="472">
        <v>81.5</v>
      </c>
      <c r="I398" s="29"/>
      <c r="J398" s="29"/>
      <c r="K398" s="29"/>
      <c r="L398" s="29"/>
      <c r="M398" s="29"/>
      <c r="N398" s="29"/>
    </row>
    <row r="399" spans="1:14" ht="19.5" customHeight="1" x14ac:dyDescent="0.25">
      <c r="A399" s="229"/>
      <c r="B399" s="7" t="s">
        <v>880</v>
      </c>
      <c r="C399" s="230"/>
      <c r="D399" s="229"/>
      <c r="E399" s="231" t="s">
        <v>881</v>
      </c>
      <c r="F399" s="491">
        <f t="shared" ref="F399:N400" si="68">F400</f>
        <v>23838.400000000001</v>
      </c>
      <c r="G399" s="491">
        <f t="shared" si="68"/>
        <v>-0.15300000000000044</v>
      </c>
      <c r="H399" s="491">
        <f t="shared" si="68"/>
        <v>23838.246999999999</v>
      </c>
      <c r="I399" s="232">
        <f t="shared" si="68"/>
        <v>10384.299999999999</v>
      </c>
      <c r="J399" s="232"/>
      <c r="K399" s="232">
        <f t="shared" si="68"/>
        <v>10384.299999999999</v>
      </c>
      <c r="L399" s="232">
        <f t="shared" si="68"/>
        <v>11178.1</v>
      </c>
      <c r="M399" s="232"/>
      <c r="N399" s="232">
        <f t="shared" si="68"/>
        <v>11178.1</v>
      </c>
    </row>
    <row r="400" spans="1:14" ht="25.5" x14ac:dyDescent="0.25">
      <c r="A400" s="229"/>
      <c r="B400" s="7"/>
      <c r="C400" s="230"/>
      <c r="D400" s="7"/>
      <c r="E400" s="233" t="s">
        <v>10</v>
      </c>
      <c r="F400" s="491">
        <f t="shared" si="68"/>
        <v>23838.400000000001</v>
      </c>
      <c r="G400" s="491">
        <f t="shared" si="68"/>
        <v>-0.15300000000000044</v>
      </c>
      <c r="H400" s="491">
        <f t="shared" si="68"/>
        <v>23838.246999999999</v>
      </c>
      <c r="I400" s="232">
        <f t="shared" si="68"/>
        <v>10384.299999999999</v>
      </c>
      <c r="J400" s="232"/>
      <c r="K400" s="232">
        <f t="shared" si="68"/>
        <v>10384.299999999999</v>
      </c>
      <c r="L400" s="232">
        <f t="shared" si="68"/>
        <v>11178.1</v>
      </c>
      <c r="M400" s="232"/>
      <c r="N400" s="232">
        <f t="shared" si="68"/>
        <v>11178.1</v>
      </c>
    </row>
    <row r="401" spans="1:15" ht="25.5" x14ac:dyDescent="0.25">
      <c r="A401" s="234"/>
      <c r="B401" s="235"/>
      <c r="C401" s="236" t="s">
        <v>260</v>
      </c>
      <c r="D401" s="235"/>
      <c r="E401" s="305" t="s">
        <v>261</v>
      </c>
      <c r="F401" s="492">
        <f>F411+F451+F402</f>
        <v>23838.400000000001</v>
      </c>
      <c r="G401" s="492">
        <f>G411+G451+G402</f>
        <v>-0.15300000000000044</v>
      </c>
      <c r="H401" s="492">
        <f>H411+H451+H402</f>
        <v>23838.246999999999</v>
      </c>
      <c r="I401" s="238">
        <f>I411+I451+I402</f>
        <v>10384.299999999999</v>
      </c>
      <c r="J401" s="238"/>
      <c r="K401" s="238">
        <f>K411+K451+K402</f>
        <v>10384.299999999999</v>
      </c>
      <c r="L401" s="238">
        <f>L411+L451+L402</f>
        <v>11178.1</v>
      </c>
      <c r="M401" s="238"/>
      <c r="N401" s="238">
        <f>N411+N451+N402</f>
        <v>11178.1</v>
      </c>
    </row>
    <row r="402" spans="1:15" ht="32.25" customHeight="1" x14ac:dyDescent="0.25">
      <c r="A402" s="294"/>
      <c r="B402" s="287"/>
      <c r="C402" s="318" t="s">
        <v>262</v>
      </c>
      <c r="D402" s="319"/>
      <c r="E402" s="320" t="s">
        <v>263</v>
      </c>
      <c r="F402" s="508">
        <f t="shared" ref="F402:N402" si="69">F403</f>
        <v>1117.4000000000001</v>
      </c>
      <c r="G402" s="508">
        <f t="shared" si="69"/>
        <v>-3.0000000000000002E-2</v>
      </c>
      <c r="H402" s="508">
        <f t="shared" si="69"/>
        <v>1117.3700000000001</v>
      </c>
      <c r="I402" s="321">
        <f t="shared" si="69"/>
        <v>1148.7</v>
      </c>
      <c r="J402" s="321"/>
      <c r="K402" s="321">
        <f t="shared" si="69"/>
        <v>1148.7</v>
      </c>
      <c r="L402" s="321">
        <f t="shared" si="69"/>
        <v>1241.9000000000001</v>
      </c>
      <c r="M402" s="321"/>
      <c r="N402" s="321">
        <f t="shared" si="69"/>
        <v>1241.9000000000001</v>
      </c>
      <c r="O402" s="44"/>
    </row>
    <row r="403" spans="1:15" ht="39" x14ac:dyDescent="0.25">
      <c r="A403" s="244"/>
      <c r="B403" s="34"/>
      <c r="C403" s="302" t="s">
        <v>264</v>
      </c>
      <c r="D403" s="303"/>
      <c r="E403" s="316" t="s">
        <v>265</v>
      </c>
      <c r="F403" s="509">
        <f>F406</f>
        <v>1117.4000000000001</v>
      </c>
      <c r="G403" s="509">
        <f>G406</f>
        <v>-3.0000000000000002E-2</v>
      </c>
      <c r="H403" s="509">
        <f>H406</f>
        <v>1117.3700000000001</v>
      </c>
      <c r="I403" s="322">
        <f>I406</f>
        <v>1148.7</v>
      </c>
      <c r="J403" s="322"/>
      <c r="K403" s="322">
        <f>K406</f>
        <v>1148.7</v>
      </c>
      <c r="L403" s="322">
        <f>L406</f>
        <v>1241.9000000000001</v>
      </c>
      <c r="M403" s="322"/>
      <c r="N403" s="322">
        <f>N406</f>
        <v>1241.9000000000001</v>
      </c>
      <c r="O403" s="44"/>
    </row>
    <row r="404" spans="1:15" ht="25.5" x14ac:dyDescent="0.25">
      <c r="A404" s="225"/>
      <c r="B404" s="27"/>
      <c r="C404" s="313" t="s">
        <v>1056</v>
      </c>
      <c r="D404" s="9"/>
      <c r="E404" s="28" t="s">
        <v>1027</v>
      </c>
      <c r="F404" s="476">
        <f>F406</f>
        <v>1117.4000000000001</v>
      </c>
      <c r="G404" s="482">
        <f>G406</f>
        <v>-3.0000000000000002E-2</v>
      </c>
      <c r="H404" s="476">
        <f>H406</f>
        <v>1117.3700000000001</v>
      </c>
      <c r="I404" s="38">
        <f>I406</f>
        <v>1148.7</v>
      </c>
      <c r="J404" s="376"/>
      <c r="K404" s="38">
        <f>K406</f>
        <v>1148.7</v>
      </c>
      <c r="L404" s="38">
        <f>L406</f>
        <v>1241.9000000000001</v>
      </c>
      <c r="M404" s="376"/>
      <c r="N404" s="38">
        <f>N406</f>
        <v>1241.9000000000001</v>
      </c>
      <c r="O404" s="44"/>
    </row>
    <row r="405" spans="1:15" x14ac:dyDescent="0.25">
      <c r="A405" s="225"/>
      <c r="B405" s="27"/>
      <c r="C405" s="259"/>
      <c r="D405" s="32"/>
      <c r="E405" s="6" t="s">
        <v>1</v>
      </c>
      <c r="F405" s="476"/>
      <c r="G405" s="482"/>
      <c r="H405" s="476"/>
      <c r="I405" s="38"/>
      <c r="J405" s="376"/>
      <c r="K405" s="38"/>
      <c r="L405" s="376"/>
      <c r="M405" s="376"/>
      <c r="N405" s="376"/>
      <c r="O405" s="44"/>
    </row>
    <row r="406" spans="1:15" s="384" customFormat="1" x14ac:dyDescent="0.25">
      <c r="A406" s="377"/>
      <c r="B406" s="378"/>
      <c r="C406" s="379"/>
      <c r="D406" s="380"/>
      <c r="E406" s="381" t="s">
        <v>1029</v>
      </c>
      <c r="F406" s="510">
        <f>F408+F409+F410</f>
        <v>1117.4000000000001</v>
      </c>
      <c r="G406" s="510">
        <f>G408+G409+G410</f>
        <v>-3.0000000000000002E-2</v>
      </c>
      <c r="H406" s="510">
        <f>H408+H409+H410</f>
        <v>1117.3700000000001</v>
      </c>
      <c r="I406" s="382">
        <f>I408+I409+I410</f>
        <v>1148.7</v>
      </c>
      <c r="J406" s="383"/>
      <c r="K406" s="382">
        <f>K408+K409+K410</f>
        <v>1148.7</v>
      </c>
      <c r="L406" s="383">
        <f>L408+L409+L410</f>
        <v>1241.9000000000001</v>
      </c>
      <c r="M406" s="383"/>
      <c r="N406" s="383">
        <f>N408+N409+N410</f>
        <v>1241.9000000000001</v>
      </c>
    </row>
    <row r="407" spans="1:15" ht="26.25" x14ac:dyDescent="0.25">
      <c r="A407" s="229"/>
      <c r="B407" s="7"/>
      <c r="C407" s="313"/>
      <c r="D407" s="14" t="s">
        <v>17</v>
      </c>
      <c r="E407" s="4" t="s">
        <v>18</v>
      </c>
      <c r="F407" s="476">
        <f>F408+F409+F410</f>
        <v>1117.4000000000001</v>
      </c>
      <c r="G407" s="482">
        <f>G408+G409+G410</f>
        <v>-3.0000000000000002E-2</v>
      </c>
      <c r="H407" s="476">
        <f>H408+H409+H410</f>
        <v>1117.3700000000001</v>
      </c>
      <c r="I407" s="38">
        <f>I408+I409+I410</f>
        <v>1148.7</v>
      </c>
      <c r="J407" s="38"/>
      <c r="K407" s="38">
        <f>K408+K409+K410</f>
        <v>1148.7</v>
      </c>
      <c r="L407" s="38">
        <f>L408+L409+L410</f>
        <v>1241.9000000000001</v>
      </c>
      <c r="M407" s="38"/>
      <c r="N407" s="38">
        <f>N408+N409+N410</f>
        <v>1241.9000000000001</v>
      </c>
    </row>
    <row r="408" spans="1:15" x14ac:dyDescent="0.25">
      <c r="A408" s="229"/>
      <c r="B408" s="7"/>
      <c r="C408" s="313"/>
      <c r="D408" s="9"/>
      <c r="E408" s="28" t="s">
        <v>266</v>
      </c>
      <c r="F408" s="469">
        <v>743.1</v>
      </c>
      <c r="G408" s="470">
        <v>-4.9000000000000002E-2</v>
      </c>
      <c r="H408" s="469">
        <f t="shared" ref="H408:H409" si="70">SUM(F408:G408)</f>
        <v>743.05100000000004</v>
      </c>
      <c r="I408" s="38">
        <v>763.9</v>
      </c>
      <c r="J408" s="38"/>
      <c r="K408" s="38">
        <v>763.9</v>
      </c>
      <c r="L408" s="38">
        <v>825.8</v>
      </c>
      <c r="M408" s="38"/>
      <c r="N408" s="38">
        <v>825.8</v>
      </c>
    </row>
    <row r="409" spans="1:15" x14ac:dyDescent="0.25">
      <c r="A409" s="229"/>
      <c r="B409" s="7"/>
      <c r="C409" s="313"/>
      <c r="D409" s="9"/>
      <c r="E409" s="28" t="s">
        <v>255</v>
      </c>
      <c r="F409" s="469">
        <v>39.1</v>
      </c>
      <c r="G409" s="470">
        <v>8.0000000000000002E-3</v>
      </c>
      <c r="H409" s="469">
        <f t="shared" si="70"/>
        <v>39.108000000000004</v>
      </c>
      <c r="I409" s="38">
        <v>40.200000000000003</v>
      </c>
      <c r="J409" s="38"/>
      <c r="K409" s="38">
        <v>40.200000000000003</v>
      </c>
      <c r="L409" s="38">
        <v>43.5</v>
      </c>
      <c r="M409" s="38"/>
      <c r="N409" s="38">
        <v>43.5</v>
      </c>
    </row>
    <row r="410" spans="1:15" x14ac:dyDescent="0.25">
      <c r="A410" s="229"/>
      <c r="B410" s="7"/>
      <c r="C410" s="313"/>
      <c r="D410" s="9"/>
      <c r="E410" s="30" t="s">
        <v>192</v>
      </c>
      <c r="F410" s="469">
        <v>335.2</v>
      </c>
      <c r="G410" s="470">
        <v>1.0999999999999999E-2</v>
      </c>
      <c r="H410" s="469">
        <f>SUM(F410:G410)</f>
        <v>335.21100000000001</v>
      </c>
      <c r="I410" s="38">
        <v>344.6</v>
      </c>
      <c r="J410" s="38"/>
      <c r="K410" s="38">
        <v>344.6</v>
      </c>
      <c r="L410" s="38">
        <v>372.6</v>
      </c>
      <c r="M410" s="38"/>
      <c r="N410" s="38">
        <v>372.6</v>
      </c>
    </row>
    <row r="411" spans="1:15" ht="25.5" x14ac:dyDescent="0.25">
      <c r="A411" s="286"/>
      <c r="B411" s="287"/>
      <c r="C411" s="288" t="s">
        <v>268</v>
      </c>
      <c r="D411" s="287"/>
      <c r="E411" s="289" t="s">
        <v>269</v>
      </c>
      <c r="F411" s="493">
        <f>F412+F417+F438</f>
        <v>13731.900000000001</v>
      </c>
      <c r="G411" s="493">
        <f>G412+G417+G438</f>
        <v>-0.11300000000000045</v>
      </c>
      <c r="H411" s="493">
        <f>H412+H417+H438</f>
        <v>13731.787</v>
      </c>
      <c r="I411" s="290">
        <f>I412+I417+I438</f>
        <v>0</v>
      </c>
      <c r="J411" s="290"/>
      <c r="K411" s="290">
        <f>K412+K417+K438</f>
        <v>0</v>
      </c>
      <c r="L411" s="290">
        <f>L412+L417+L438</f>
        <v>0</v>
      </c>
      <c r="M411" s="290"/>
      <c r="N411" s="290">
        <f>N412+N417+N438</f>
        <v>0</v>
      </c>
    </row>
    <row r="412" spans="1:15" ht="38.25" x14ac:dyDescent="0.25">
      <c r="A412" s="244"/>
      <c r="B412" s="34"/>
      <c r="C412" s="245" t="s">
        <v>270</v>
      </c>
      <c r="D412" s="34"/>
      <c r="E412" s="253" t="s">
        <v>271</v>
      </c>
      <c r="F412" s="494">
        <f t="shared" ref="F412:N413" si="71">F413</f>
        <v>898.1</v>
      </c>
      <c r="G412" s="494">
        <f t="shared" ref="F412:H413" si="72">G413</f>
        <v>0</v>
      </c>
      <c r="H412" s="494">
        <f t="shared" si="72"/>
        <v>898.1</v>
      </c>
      <c r="I412" s="247">
        <f t="shared" si="71"/>
        <v>0</v>
      </c>
      <c r="J412" s="247"/>
      <c r="K412" s="247">
        <f t="shared" si="71"/>
        <v>0</v>
      </c>
      <c r="L412" s="247">
        <f t="shared" si="71"/>
        <v>0</v>
      </c>
      <c r="M412" s="247"/>
      <c r="N412" s="247">
        <f t="shared" si="71"/>
        <v>0</v>
      </c>
    </row>
    <row r="413" spans="1:15" ht="25.5" x14ac:dyDescent="0.25">
      <c r="A413" s="229"/>
      <c r="B413" s="7"/>
      <c r="C413" s="248" t="s">
        <v>272</v>
      </c>
      <c r="D413" s="7"/>
      <c r="E413" s="30" t="s">
        <v>882</v>
      </c>
      <c r="F413" s="472">
        <f t="shared" si="72"/>
        <v>898.1</v>
      </c>
      <c r="G413" s="472">
        <f t="shared" si="72"/>
        <v>0</v>
      </c>
      <c r="H413" s="472">
        <f t="shared" si="72"/>
        <v>898.1</v>
      </c>
      <c r="I413" s="29">
        <f t="shared" si="71"/>
        <v>0</v>
      </c>
      <c r="J413" s="29"/>
      <c r="K413" s="29">
        <f t="shared" si="71"/>
        <v>0</v>
      </c>
      <c r="L413" s="29">
        <f t="shared" si="71"/>
        <v>0</v>
      </c>
      <c r="M413" s="29"/>
      <c r="N413" s="29">
        <f t="shared" si="71"/>
        <v>0</v>
      </c>
    </row>
    <row r="414" spans="1:15" ht="25.5" x14ac:dyDescent="0.25">
      <c r="A414" s="229"/>
      <c r="B414" s="7"/>
      <c r="C414" s="230"/>
      <c r="D414" s="27" t="s">
        <v>17</v>
      </c>
      <c r="E414" s="28" t="s">
        <v>18</v>
      </c>
      <c r="F414" s="472">
        <f>F416+F415</f>
        <v>898.1</v>
      </c>
      <c r="G414" s="472">
        <f>G416+G415</f>
        <v>0</v>
      </c>
      <c r="H414" s="472">
        <f>H416+H415</f>
        <v>898.1</v>
      </c>
      <c r="I414" s="29">
        <v>0</v>
      </c>
      <c r="J414" s="29"/>
      <c r="K414" s="29">
        <v>0</v>
      </c>
      <c r="L414" s="29">
        <v>0</v>
      </c>
      <c r="M414" s="29"/>
      <c r="N414" s="29">
        <v>0</v>
      </c>
    </row>
    <row r="415" spans="1:15" x14ac:dyDescent="0.25">
      <c r="A415" s="229"/>
      <c r="B415" s="7"/>
      <c r="C415" s="230"/>
      <c r="D415" s="27"/>
      <c r="E415" s="28" t="s">
        <v>1166</v>
      </c>
      <c r="F415" s="472">
        <v>120.5</v>
      </c>
      <c r="G415" s="472"/>
      <c r="H415" s="472">
        <v>120.5</v>
      </c>
      <c r="I415" s="29"/>
      <c r="J415" s="29"/>
      <c r="K415" s="29">
        <v>0</v>
      </c>
      <c r="L415" s="29"/>
      <c r="M415" s="29"/>
      <c r="N415" s="29">
        <v>0</v>
      </c>
    </row>
    <row r="416" spans="1:15" x14ac:dyDescent="0.25">
      <c r="A416" s="229"/>
      <c r="B416" s="7"/>
      <c r="C416" s="230"/>
      <c r="D416" s="27"/>
      <c r="E416" s="30" t="s">
        <v>192</v>
      </c>
      <c r="F416" s="472">
        <v>777.6</v>
      </c>
      <c r="G416" s="472"/>
      <c r="H416" s="472">
        <f>SUM(F416:G416)</f>
        <v>777.6</v>
      </c>
      <c r="I416" s="29"/>
      <c r="J416" s="29"/>
      <c r="K416" s="29">
        <v>0</v>
      </c>
      <c r="L416" s="29"/>
      <c r="M416" s="29"/>
      <c r="N416" s="29">
        <v>0</v>
      </c>
    </row>
    <row r="417" spans="1:14" ht="25.5" x14ac:dyDescent="0.25">
      <c r="A417" s="244"/>
      <c r="B417" s="34"/>
      <c r="C417" s="245" t="s">
        <v>273</v>
      </c>
      <c r="D417" s="34"/>
      <c r="E417" s="253" t="s">
        <v>274</v>
      </c>
      <c r="F417" s="494">
        <f>F418+F432+F436+F428+F430+F424</f>
        <v>9670</v>
      </c>
      <c r="G417" s="494">
        <f>G418+G432+G436+G428+G430+G424</f>
        <v>-0.13700000000000045</v>
      </c>
      <c r="H417" s="494">
        <f>H418+H432+H436+H428+H430+H424</f>
        <v>9669.8629999999994</v>
      </c>
      <c r="I417" s="247">
        <f>I418+I432</f>
        <v>0</v>
      </c>
      <c r="J417" s="247"/>
      <c r="K417" s="247">
        <f>K418+K432</f>
        <v>0</v>
      </c>
      <c r="L417" s="247">
        <f>L418+L432</f>
        <v>0</v>
      </c>
      <c r="M417" s="247"/>
      <c r="N417" s="247">
        <f>N418+N432</f>
        <v>0</v>
      </c>
    </row>
    <row r="418" spans="1:14" x14ac:dyDescent="0.25">
      <c r="A418" s="229"/>
      <c r="B418" s="10"/>
      <c r="C418" s="313" t="s">
        <v>275</v>
      </c>
      <c r="D418" s="10"/>
      <c r="E418" s="30" t="s">
        <v>883</v>
      </c>
      <c r="F418" s="472">
        <f>F419</f>
        <v>813.5</v>
      </c>
      <c r="G418" s="470">
        <f>G421+G420+G422</f>
        <v>-26.136999999999997</v>
      </c>
      <c r="H418" s="472">
        <f>H419+H422</f>
        <v>787.36299999999994</v>
      </c>
      <c r="I418" s="29">
        <f>I419</f>
        <v>0</v>
      </c>
      <c r="J418" s="29"/>
      <c r="K418" s="29">
        <f>K419</f>
        <v>0</v>
      </c>
      <c r="L418" s="29">
        <f>L419</f>
        <v>0</v>
      </c>
      <c r="M418" s="29"/>
      <c r="N418" s="29">
        <f>N419</f>
        <v>0</v>
      </c>
    </row>
    <row r="419" spans="1:14" ht="25.5" x14ac:dyDescent="0.25">
      <c r="A419" s="229"/>
      <c r="B419" s="10"/>
      <c r="C419" s="314"/>
      <c r="D419" s="9" t="s">
        <v>17</v>
      </c>
      <c r="E419" s="28" t="s">
        <v>18</v>
      </c>
      <c r="F419" s="472">
        <f>F420+F421</f>
        <v>813.5</v>
      </c>
      <c r="G419" s="470">
        <f>SUM(G420:G421)</f>
        <v>-53.650999999999996</v>
      </c>
      <c r="H419" s="472">
        <f>H420+H421</f>
        <v>759.84899999999993</v>
      </c>
      <c r="I419" s="29">
        <v>0</v>
      </c>
      <c r="J419" s="29"/>
      <c r="K419" s="29">
        <v>0</v>
      </c>
      <c r="L419" s="8">
        <f>L420+L421</f>
        <v>0</v>
      </c>
      <c r="M419" s="29"/>
      <c r="N419" s="8">
        <f>N420+N421</f>
        <v>0</v>
      </c>
    </row>
    <row r="420" spans="1:14" x14ac:dyDescent="0.25">
      <c r="A420" s="229"/>
      <c r="B420" s="10"/>
      <c r="C420" s="313"/>
      <c r="D420" s="10"/>
      <c r="E420" s="28" t="s">
        <v>255</v>
      </c>
      <c r="F420" s="472">
        <v>538</v>
      </c>
      <c r="G420" s="470">
        <v>-27.568999999999999</v>
      </c>
      <c r="H420" s="472">
        <f>F420+G420</f>
        <v>510.43099999999998</v>
      </c>
      <c r="I420" s="29">
        <v>0</v>
      </c>
      <c r="J420" s="29"/>
      <c r="K420" s="29">
        <v>0</v>
      </c>
      <c r="L420" s="8">
        <v>0</v>
      </c>
      <c r="M420" s="29"/>
      <c r="N420" s="8">
        <v>0</v>
      </c>
    </row>
    <row r="421" spans="1:14" x14ac:dyDescent="0.25">
      <c r="A421" s="229"/>
      <c r="B421" s="10"/>
      <c r="C421" s="313"/>
      <c r="D421" s="10"/>
      <c r="E421" s="30" t="s">
        <v>192</v>
      </c>
      <c r="F421" s="472">
        <v>275.5</v>
      </c>
      <c r="G421" s="470">
        <v>-26.082000000000001</v>
      </c>
      <c r="H421" s="472">
        <f>F421+G421</f>
        <v>249.41800000000001</v>
      </c>
      <c r="I421" s="29">
        <v>0</v>
      </c>
      <c r="J421" s="29"/>
      <c r="K421" s="29">
        <v>0</v>
      </c>
      <c r="L421" s="8">
        <v>0</v>
      </c>
      <c r="M421" s="29"/>
      <c r="N421" s="8">
        <v>0</v>
      </c>
    </row>
    <row r="422" spans="1:14" x14ac:dyDescent="0.25">
      <c r="A422" s="229"/>
      <c r="B422" s="10"/>
      <c r="C422" s="313"/>
      <c r="D422" s="9" t="s">
        <v>32</v>
      </c>
      <c r="E422" s="28" t="s">
        <v>33</v>
      </c>
      <c r="F422" s="472"/>
      <c r="G422" s="470">
        <v>27.513999999999999</v>
      </c>
      <c r="H422" s="470">
        <v>27.513999999999999</v>
      </c>
      <c r="I422" s="29"/>
      <c r="J422" s="29"/>
      <c r="K422" s="29"/>
      <c r="L422" s="8"/>
      <c r="M422" s="29"/>
      <c r="N422" s="8"/>
    </row>
    <row r="423" spans="1:14" x14ac:dyDescent="0.25">
      <c r="A423" s="229"/>
      <c r="B423" s="10"/>
      <c r="C423" s="313"/>
      <c r="D423" s="9"/>
      <c r="E423" s="28" t="s">
        <v>255</v>
      </c>
      <c r="F423" s="472"/>
      <c r="G423" s="470">
        <v>27.513999999999999</v>
      </c>
      <c r="H423" s="470">
        <v>27.513999999999999</v>
      </c>
      <c r="I423" s="29"/>
      <c r="J423" s="29"/>
      <c r="K423" s="29"/>
      <c r="L423" s="8"/>
      <c r="M423" s="29"/>
      <c r="N423" s="8"/>
    </row>
    <row r="424" spans="1:14" ht="39" x14ac:dyDescent="0.25">
      <c r="A424" s="229"/>
      <c r="B424" s="10"/>
      <c r="C424" s="313" t="s">
        <v>1062</v>
      </c>
      <c r="D424" s="10"/>
      <c r="E424" s="194" t="s">
        <v>276</v>
      </c>
      <c r="F424" s="469">
        <v>1200</v>
      </c>
      <c r="G424" s="469">
        <f>G425</f>
        <v>0</v>
      </c>
      <c r="H424" s="469">
        <f>H425</f>
        <v>1200</v>
      </c>
      <c r="I424" s="29">
        <f>I425</f>
        <v>0</v>
      </c>
      <c r="J424" s="29"/>
      <c r="K424" s="29">
        <f>K425</f>
        <v>0</v>
      </c>
      <c r="L424" s="29">
        <f>L425</f>
        <v>0</v>
      </c>
      <c r="M424" s="29"/>
      <c r="N424" s="29">
        <f>N425</f>
        <v>0</v>
      </c>
    </row>
    <row r="425" spans="1:14" ht="26.25" x14ac:dyDescent="0.25">
      <c r="A425" s="229"/>
      <c r="B425" s="10"/>
      <c r="C425" s="314"/>
      <c r="D425" s="9" t="s">
        <v>17</v>
      </c>
      <c r="E425" s="194" t="s">
        <v>18</v>
      </c>
      <c r="F425" s="469">
        <v>1200</v>
      </c>
      <c r="G425" s="469">
        <f>G426+G427</f>
        <v>0</v>
      </c>
      <c r="H425" s="469">
        <f>H426+H427</f>
        <v>1200</v>
      </c>
      <c r="I425" s="29">
        <v>0</v>
      </c>
      <c r="J425" s="29"/>
      <c r="K425" s="29">
        <v>0</v>
      </c>
      <c r="L425" s="8">
        <f>L426+L427</f>
        <v>0</v>
      </c>
      <c r="M425" s="29"/>
      <c r="N425" s="8">
        <f>N426+N427</f>
        <v>0</v>
      </c>
    </row>
    <row r="426" spans="1:14" x14ac:dyDescent="0.25">
      <c r="A426" s="229"/>
      <c r="B426" s="10"/>
      <c r="C426" s="313"/>
      <c r="D426" s="10"/>
      <c r="E426" s="205" t="s">
        <v>191</v>
      </c>
      <c r="F426" s="469">
        <v>900</v>
      </c>
      <c r="G426" s="469"/>
      <c r="H426" s="469">
        <v>900</v>
      </c>
      <c r="I426" s="29">
        <v>0</v>
      </c>
      <c r="J426" s="29"/>
      <c r="K426" s="29">
        <v>0</v>
      </c>
      <c r="L426" s="8">
        <v>0</v>
      </c>
      <c r="M426" s="29"/>
      <c r="N426" s="8">
        <v>0</v>
      </c>
    </row>
    <row r="427" spans="1:14" x14ac:dyDescent="0.25">
      <c r="A427" s="229"/>
      <c r="B427" s="10"/>
      <c r="C427" s="313"/>
      <c r="D427" s="10"/>
      <c r="E427" s="205" t="s">
        <v>192</v>
      </c>
      <c r="F427" s="469">
        <v>300</v>
      </c>
      <c r="G427" s="469"/>
      <c r="H427" s="469">
        <v>300</v>
      </c>
      <c r="I427" s="29">
        <v>0</v>
      </c>
      <c r="J427" s="29"/>
      <c r="K427" s="29">
        <v>0</v>
      </c>
      <c r="L427" s="8">
        <v>0</v>
      </c>
      <c r="M427" s="29"/>
      <c r="N427" s="8">
        <v>0</v>
      </c>
    </row>
    <row r="428" spans="1:14" x14ac:dyDescent="0.25">
      <c r="A428" s="229"/>
      <c r="B428" s="10"/>
      <c r="C428" s="313" t="s">
        <v>501</v>
      </c>
      <c r="D428" s="9"/>
      <c r="E428" s="28" t="s">
        <v>884</v>
      </c>
      <c r="F428" s="473">
        <f>F429</f>
        <v>2691.6</v>
      </c>
      <c r="G428" s="473"/>
      <c r="H428" s="473">
        <f>H429</f>
        <v>2691.6</v>
      </c>
      <c r="I428" s="8">
        <v>0</v>
      </c>
      <c r="J428" s="8"/>
      <c r="K428" s="8">
        <v>0</v>
      </c>
      <c r="L428" s="8">
        <v>0</v>
      </c>
      <c r="M428" s="8"/>
      <c r="N428" s="8">
        <v>0</v>
      </c>
    </row>
    <row r="429" spans="1:14" ht="25.5" x14ac:dyDescent="0.25">
      <c r="A429" s="229"/>
      <c r="B429" s="10"/>
      <c r="C429" s="314"/>
      <c r="D429" s="9" t="s">
        <v>17</v>
      </c>
      <c r="E429" s="28" t="s">
        <v>18</v>
      </c>
      <c r="F429" s="473">
        <v>2691.6</v>
      </c>
      <c r="G429" s="473"/>
      <c r="H429" s="473">
        <v>2691.6</v>
      </c>
      <c r="I429" s="8">
        <v>0</v>
      </c>
      <c r="J429" s="8"/>
      <c r="K429" s="8">
        <v>0</v>
      </c>
      <c r="L429" s="8">
        <v>0</v>
      </c>
      <c r="M429" s="8"/>
      <c r="N429" s="8">
        <v>0</v>
      </c>
    </row>
    <row r="430" spans="1:14" ht="25.5" x14ac:dyDescent="0.25">
      <c r="A430" s="229"/>
      <c r="B430" s="10"/>
      <c r="C430" s="313" t="s">
        <v>724</v>
      </c>
      <c r="D430" s="9"/>
      <c r="E430" s="28" t="s">
        <v>1149</v>
      </c>
      <c r="F430" s="473">
        <f>F431</f>
        <v>1493.9</v>
      </c>
      <c r="G430" s="473">
        <f>G431</f>
        <v>147</v>
      </c>
      <c r="H430" s="473">
        <f>H431</f>
        <v>1640.9</v>
      </c>
      <c r="I430" s="8">
        <v>0</v>
      </c>
      <c r="J430" s="8"/>
      <c r="K430" s="8">
        <v>0</v>
      </c>
      <c r="L430" s="8">
        <v>0</v>
      </c>
      <c r="M430" s="8"/>
      <c r="N430" s="8">
        <v>0</v>
      </c>
    </row>
    <row r="431" spans="1:14" ht="25.5" x14ac:dyDescent="0.25">
      <c r="A431" s="229"/>
      <c r="B431" s="10"/>
      <c r="C431" s="314"/>
      <c r="D431" s="9" t="s">
        <v>17</v>
      </c>
      <c r="E431" s="28" t="s">
        <v>18</v>
      </c>
      <c r="F431" s="473">
        <v>1493.9</v>
      </c>
      <c r="G431" s="473">
        <v>147</v>
      </c>
      <c r="H431" s="473">
        <f>SUM(F431:G431)</f>
        <v>1640.9</v>
      </c>
      <c r="I431" s="8">
        <v>0</v>
      </c>
      <c r="J431" s="8"/>
      <c r="K431" s="8">
        <v>0</v>
      </c>
      <c r="L431" s="8">
        <v>0</v>
      </c>
      <c r="M431" s="8"/>
      <c r="N431" s="8">
        <v>0</v>
      </c>
    </row>
    <row r="432" spans="1:14" ht="26.25" x14ac:dyDescent="0.25">
      <c r="A432" s="229"/>
      <c r="B432" s="10"/>
      <c r="C432" s="32" t="s">
        <v>790</v>
      </c>
      <c r="D432" s="15"/>
      <c r="E432" s="13" t="s">
        <v>783</v>
      </c>
      <c r="F432" s="472">
        <f>F433</f>
        <v>2871</v>
      </c>
      <c r="G432" s="473">
        <f>G433</f>
        <v>-121</v>
      </c>
      <c r="H432" s="472">
        <f>H433</f>
        <v>2750</v>
      </c>
      <c r="I432" s="29">
        <f>I433</f>
        <v>0</v>
      </c>
      <c r="J432" s="29"/>
      <c r="K432" s="29">
        <f>K433</f>
        <v>0</v>
      </c>
      <c r="L432" s="29">
        <f>L433</f>
        <v>0</v>
      </c>
      <c r="M432" s="29"/>
      <c r="N432" s="29">
        <f>N433</f>
        <v>0</v>
      </c>
    </row>
    <row r="433" spans="1:14" ht="25.5" x14ac:dyDescent="0.25">
      <c r="A433" s="229"/>
      <c r="B433" s="10"/>
      <c r="C433" s="230"/>
      <c r="D433" s="9" t="s">
        <v>17</v>
      </c>
      <c r="E433" s="28" t="s">
        <v>18</v>
      </c>
      <c r="F433" s="473">
        <f>SUM(F434:F435)</f>
        <v>2871</v>
      </c>
      <c r="G433" s="473">
        <f>SUM(G434:G435)</f>
        <v>-121</v>
      </c>
      <c r="H433" s="473">
        <f>SUM(H434:H435)</f>
        <v>2750</v>
      </c>
      <c r="I433" s="8">
        <v>0</v>
      </c>
      <c r="J433" s="8"/>
      <c r="K433" s="8">
        <v>0</v>
      </c>
      <c r="L433" s="8">
        <v>0</v>
      </c>
      <c r="M433" s="8"/>
      <c r="N433" s="8">
        <v>0</v>
      </c>
    </row>
    <row r="434" spans="1:14" x14ac:dyDescent="0.25">
      <c r="A434" s="229"/>
      <c r="B434" s="10"/>
      <c r="C434" s="230"/>
      <c r="D434" s="9"/>
      <c r="E434" s="205" t="s">
        <v>192</v>
      </c>
      <c r="F434" s="473">
        <v>1871</v>
      </c>
      <c r="G434" s="473">
        <v>-121</v>
      </c>
      <c r="H434" s="473">
        <f>SUM(F434:G434)</f>
        <v>1750</v>
      </c>
      <c r="I434" s="8"/>
      <c r="J434" s="8"/>
      <c r="K434" s="8">
        <v>0</v>
      </c>
      <c r="L434" s="8"/>
      <c r="M434" s="8"/>
      <c r="N434" s="8">
        <v>0</v>
      </c>
    </row>
    <row r="435" spans="1:14" x14ac:dyDescent="0.25">
      <c r="A435" s="229"/>
      <c r="B435" s="10"/>
      <c r="C435" s="230"/>
      <c r="D435" s="9"/>
      <c r="E435" s="159" t="s">
        <v>1143</v>
      </c>
      <c r="F435" s="473">
        <v>1000</v>
      </c>
      <c r="G435" s="473"/>
      <c r="H435" s="473">
        <v>1000</v>
      </c>
      <c r="I435" s="8"/>
      <c r="J435" s="8"/>
      <c r="K435" s="8">
        <v>0</v>
      </c>
      <c r="L435" s="8"/>
      <c r="M435" s="8"/>
      <c r="N435" s="8">
        <v>0</v>
      </c>
    </row>
    <row r="436" spans="1:14" ht="39" x14ac:dyDescent="0.25">
      <c r="A436" s="229"/>
      <c r="B436" s="10"/>
      <c r="C436" s="32" t="s">
        <v>791</v>
      </c>
      <c r="D436" s="14"/>
      <c r="E436" s="194" t="s">
        <v>1063</v>
      </c>
      <c r="F436" s="472">
        <f>F437</f>
        <v>600</v>
      </c>
      <c r="G436" s="472"/>
      <c r="H436" s="472">
        <f>H437</f>
        <v>600</v>
      </c>
      <c r="I436" s="8">
        <v>0</v>
      </c>
      <c r="J436" s="8"/>
      <c r="K436" s="8">
        <v>0</v>
      </c>
      <c r="L436" s="8">
        <v>0</v>
      </c>
      <c r="M436" s="8"/>
      <c r="N436" s="8">
        <v>0</v>
      </c>
    </row>
    <row r="437" spans="1:14" ht="26.25" x14ac:dyDescent="0.25">
      <c r="A437" s="229"/>
      <c r="B437" s="10"/>
      <c r="C437" s="15"/>
      <c r="D437" s="14" t="s">
        <v>17</v>
      </c>
      <c r="E437" s="4" t="s">
        <v>18</v>
      </c>
      <c r="F437" s="472">
        <v>600</v>
      </c>
      <c r="G437" s="472"/>
      <c r="H437" s="472">
        <v>600</v>
      </c>
      <c r="I437" s="8">
        <v>0</v>
      </c>
      <c r="J437" s="8"/>
      <c r="K437" s="8">
        <v>0</v>
      </c>
      <c r="L437" s="8">
        <v>0</v>
      </c>
      <c r="M437" s="8"/>
      <c r="N437" s="8">
        <v>0</v>
      </c>
    </row>
    <row r="438" spans="1:14" x14ac:dyDescent="0.25">
      <c r="A438" s="244"/>
      <c r="B438" s="34"/>
      <c r="C438" s="245" t="s">
        <v>277</v>
      </c>
      <c r="D438" s="255"/>
      <c r="E438" s="253" t="s">
        <v>278</v>
      </c>
      <c r="F438" s="494">
        <f>F439+F447+F441+F449</f>
        <v>3163.8</v>
      </c>
      <c r="G438" s="494">
        <f>G439+G441+G449</f>
        <v>2.4000000000000007E-2</v>
      </c>
      <c r="H438" s="494">
        <f>H439+H447+H441+H449</f>
        <v>3163.8240000000001</v>
      </c>
      <c r="I438" s="247">
        <f>I439+I447</f>
        <v>0</v>
      </c>
      <c r="J438" s="247"/>
      <c r="K438" s="247">
        <f>K439+K447</f>
        <v>0</v>
      </c>
      <c r="L438" s="247">
        <f>L439+L447</f>
        <v>0</v>
      </c>
      <c r="M438" s="247"/>
      <c r="N438" s="247">
        <f>N439+N447</f>
        <v>0</v>
      </c>
    </row>
    <row r="439" spans="1:14" x14ac:dyDescent="0.25">
      <c r="A439" s="229"/>
      <c r="B439" s="10"/>
      <c r="C439" s="313" t="s">
        <v>279</v>
      </c>
      <c r="D439" s="10"/>
      <c r="E439" s="28" t="s">
        <v>280</v>
      </c>
      <c r="F439" s="482">
        <f>F440</f>
        <v>0</v>
      </c>
      <c r="G439" s="482"/>
      <c r="H439" s="482">
        <f>H440</f>
        <v>0</v>
      </c>
      <c r="I439" s="435">
        <f>I440</f>
        <v>0</v>
      </c>
      <c r="J439" s="435"/>
      <c r="K439" s="435">
        <f>K440</f>
        <v>0</v>
      </c>
      <c r="L439" s="435">
        <f>L440</f>
        <v>0</v>
      </c>
      <c r="M439" s="435"/>
      <c r="N439" s="435">
        <f>N440</f>
        <v>0</v>
      </c>
    </row>
    <row r="440" spans="1:14" ht="25.5" x14ac:dyDescent="0.25">
      <c r="A440" s="229"/>
      <c r="B440" s="10"/>
      <c r="C440" s="314"/>
      <c r="D440" s="9" t="s">
        <v>17</v>
      </c>
      <c r="E440" s="28" t="s">
        <v>18</v>
      </c>
      <c r="F440" s="482">
        <v>0</v>
      </c>
      <c r="G440" s="470"/>
      <c r="H440" s="482">
        <f>SUM(F440:G440)</f>
        <v>0</v>
      </c>
      <c r="I440" s="38">
        <v>0</v>
      </c>
      <c r="J440" s="38"/>
      <c r="K440" s="38">
        <v>0</v>
      </c>
      <c r="L440" s="435">
        <v>0</v>
      </c>
      <c r="M440" s="38"/>
      <c r="N440" s="435">
        <v>0</v>
      </c>
    </row>
    <row r="441" spans="1:14" ht="39" x14ac:dyDescent="0.25">
      <c r="A441" s="229"/>
      <c r="B441" s="10"/>
      <c r="C441" s="157" t="s">
        <v>1123</v>
      </c>
      <c r="D441" s="193"/>
      <c r="E441" s="194" t="s">
        <v>1124</v>
      </c>
      <c r="F441" s="470">
        <f>F442+F445</f>
        <v>1593.8</v>
      </c>
      <c r="G441" s="470">
        <f>G445+G442</f>
        <v>2.4000000000000007E-2</v>
      </c>
      <c r="H441" s="470">
        <f>H442+H445</f>
        <v>1593.8240000000001</v>
      </c>
      <c r="I441" s="38"/>
      <c r="J441" s="38"/>
      <c r="K441" s="38">
        <v>0</v>
      </c>
      <c r="L441" s="435"/>
      <c r="M441" s="38"/>
      <c r="N441" s="435">
        <v>0</v>
      </c>
    </row>
    <row r="442" spans="1:14" ht="26.25" x14ac:dyDescent="0.25">
      <c r="A442" s="229"/>
      <c r="B442" s="10"/>
      <c r="C442" s="158"/>
      <c r="D442" s="193" t="s">
        <v>17</v>
      </c>
      <c r="E442" s="194" t="s">
        <v>18</v>
      </c>
      <c r="F442" s="478">
        <f>SUM(F444+F443)</f>
        <v>1593.8</v>
      </c>
      <c r="G442" s="478">
        <f>SUM(G444+G443)</f>
        <v>2.4000000000000007E-2</v>
      </c>
      <c r="H442" s="470">
        <f>H443+H444</f>
        <v>1593.8240000000001</v>
      </c>
      <c r="I442" s="29"/>
      <c r="J442" s="29"/>
      <c r="K442" s="29">
        <v>0</v>
      </c>
      <c r="L442" s="8"/>
      <c r="M442" s="29"/>
      <c r="N442" s="8">
        <v>0</v>
      </c>
    </row>
    <row r="443" spans="1:14" x14ac:dyDescent="0.25">
      <c r="A443" s="229"/>
      <c r="B443" s="10"/>
      <c r="C443" s="158"/>
      <c r="D443" s="193"/>
      <c r="E443" s="205" t="s">
        <v>191</v>
      </c>
      <c r="F443" s="473">
        <v>1195.3</v>
      </c>
      <c r="G443" s="470">
        <v>6.8000000000000005E-2</v>
      </c>
      <c r="H443" s="470">
        <v>1195.3679999999999</v>
      </c>
      <c r="I443" s="29"/>
      <c r="J443" s="29"/>
      <c r="K443" s="29">
        <v>0</v>
      </c>
      <c r="L443" s="8"/>
      <c r="M443" s="29"/>
      <c r="N443" s="8">
        <v>0</v>
      </c>
    </row>
    <row r="444" spans="1:14" x14ac:dyDescent="0.25">
      <c r="A444" s="229"/>
      <c r="B444" s="10"/>
      <c r="C444" s="158"/>
      <c r="D444" s="193"/>
      <c r="E444" s="205" t="s">
        <v>192</v>
      </c>
      <c r="F444" s="473">
        <v>398.5</v>
      </c>
      <c r="G444" s="470">
        <v>-4.3999999999999997E-2</v>
      </c>
      <c r="H444" s="470">
        <v>398.45600000000002</v>
      </c>
      <c r="I444" s="29"/>
      <c r="J444" s="29"/>
      <c r="K444" s="29">
        <v>0</v>
      </c>
      <c r="L444" s="8"/>
      <c r="M444" s="29"/>
      <c r="N444" s="8">
        <v>0</v>
      </c>
    </row>
    <row r="445" spans="1:14" x14ac:dyDescent="0.25">
      <c r="A445" s="229"/>
      <c r="B445" s="10"/>
      <c r="C445" s="158"/>
      <c r="D445" s="193" t="s">
        <v>32</v>
      </c>
      <c r="E445" s="159" t="s">
        <v>33</v>
      </c>
      <c r="F445" s="473">
        <v>0</v>
      </c>
      <c r="G445" s="470"/>
      <c r="H445" s="470">
        <v>0</v>
      </c>
      <c r="I445" s="29"/>
      <c r="J445" s="29"/>
      <c r="K445" s="29">
        <v>0</v>
      </c>
      <c r="L445" s="8"/>
      <c r="M445" s="29"/>
      <c r="N445" s="8">
        <v>0</v>
      </c>
    </row>
    <row r="446" spans="1:14" x14ac:dyDescent="0.25">
      <c r="A446" s="229"/>
      <c r="B446" s="10"/>
      <c r="C446" s="158"/>
      <c r="D446" s="193"/>
      <c r="E446" s="205" t="s">
        <v>191</v>
      </c>
      <c r="F446" s="473">
        <v>0</v>
      </c>
      <c r="G446" s="470"/>
      <c r="H446" s="470">
        <v>0</v>
      </c>
      <c r="I446" s="29"/>
      <c r="J446" s="29"/>
      <c r="K446" s="29">
        <v>0</v>
      </c>
      <c r="L446" s="8"/>
      <c r="M446" s="29"/>
      <c r="N446" s="8">
        <v>0</v>
      </c>
    </row>
    <row r="447" spans="1:14" x14ac:dyDescent="0.25">
      <c r="A447" s="229"/>
      <c r="B447" s="10"/>
      <c r="C447" s="263" t="s">
        <v>285</v>
      </c>
      <c r="D447" s="9"/>
      <c r="E447" s="28" t="s">
        <v>286</v>
      </c>
      <c r="F447" s="473">
        <f>F448</f>
        <v>1000</v>
      </c>
      <c r="G447" s="473"/>
      <c r="H447" s="473">
        <f>H448</f>
        <v>1000</v>
      </c>
      <c r="I447" s="8">
        <f>I448</f>
        <v>0</v>
      </c>
      <c r="J447" s="8"/>
      <c r="K447" s="8">
        <f>K448</f>
        <v>0</v>
      </c>
      <c r="L447" s="8">
        <f>L448</f>
        <v>0</v>
      </c>
      <c r="M447" s="8"/>
      <c r="N447" s="8">
        <f>N448</f>
        <v>0</v>
      </c>
    </row>
    <row r="448" spans="1:14" ht="25.5" x14ac:dyDescent="0.25">
      <c r="A448" s="229"/>
      <c r="B448" s="10"/>
      <c r="C448" s="313"/>
      <c r="D448" s="9" t="s">
        <v>17</v>
      </c>
      <c r="E448" s="28" t="s">
        <v>18</v>
      </c>
      <c r="F448" s="473">
        <v>1000</v>
      </c>
      <c r="G448" s="473"/>
      <c r="H448" s="473">
        <v>1000</v>
      </c>
      <c r="I448" s="8">
        <v>0</v>
      </c>
      <c r="J448" s="8"/>
      <c r="K448" s="8">
        <v>0</v>
      </c>
      <c r="L448" s="8">
        <v>0</v>
      </c>
      <c r="M448" s="8"/>
      <c r="N448" s="8">
        <v>0</v>
      </c>
    </row>
    <row r="449" spans="1:14" ht="25.5" x14ac:dyDescent="0.25">
      <c r="A449" s="229"/>
      <c r="B449" s="10"/>
      <c r="C449" s="9" t="s">
        <v>1167</v>
      </c>
      <c r="D449" s="27"/>
      <c r="E449" s="30" t="s">
        <v>1152</v>
      </c>
      <c r="F449" s="511">
        <f>F450</f>
        <v>570</v>
      </c>
      <c r="G449" s="511"/>
      <c r="H449" s="511">
        <f>H450</f>
        <v>570</v>
      </c>
      <c r="I449" s="436"/>
      <c r="J449" s="436"/>
      <c r="K449" s="436">
        <v>0</v>
      </c>
      <c r="L449" s="436"/>
      <c r="M449" s="436"/>
      <c r="N449" s="436">
        <v>0</v>
      </c>
    </row>
    <row r="450" spans="1:14" ht="25.5" x14ac:dyDescent="0.25">
      <c r="A450" s="229"/>
      <c r="B450" s="10"/>
      <c r="C450" s="196"/>
      <c r="D450" s="206" t="s">
        <v>17</v>
      </c>
      <c r="E450" s="188" t="s">
        <v>18</v>
      </c>
      <c r="F450" s="511">
        <v>570</v>
      </c>
      <c r="G450" s="511"/>
      <c r="H450" s="511">
        <v>570</v>
      </c>
      <c r="I450" s="436"/>
      <c r="J450" s="436"/>
      <c r="K450" s="436">
        <v>0</v>
      </c>
      <c r="L450" s="436"/>
      <c r="M450" s="436"/>
      <c r="N450" s="436">
        <v>0</v>
      </c>
    </row>
    <row r="451" spans="1:14" ht="25.5" x14ac:dyDescent="0.25">
      <c r="A451" s="294"/>
      <c r="B451" s="308"/>
      <c r="C451" s="309" t="s">
        <v>294</v>
      </c>
      <c r="D451" s="308"/>
      <c r="E451" s="310" t="s">
        <v>295</v>
      </c>
      <c r="F451" s="512">
        <f>F455+F461+F452</f>
        <v>8989.1</v>
      </c>
      <c r="G451" s="512">
        <f>G455+G461+G452</f>
        <v>-9.999999999999995E-3</v>
      </c>
      <c r="H451" s="512">
        <f>H455+H461+H452</f>
        <v>8989.0899999999983</v>
      </c>
      <c r="I451" s="323">
        <f>I455+I461</f>
        <v>9235.5999999999985</v>
      </c>
      <c r="J451" s="323"/>
      <c r="K451" s="323">
        <f>K455+K461</f>
        <v>9235.5999999999985</v>
      </c>
      <c r="L451" s="323">
        <f>L455+L461</f>
        <v>9936.2000000000007</v>
      </c>
      <c r="M451" s="323"/>
      <c r="N451" s="323">
        <f>N455+N461</f>
        <v>9936.2000000000007</v>
      </c>
    </row>
    <row r="452" spans="1:14" ht="38.25" x14ac:dyDescent="0.25">
      <c r="A452" s="244"/>
      <c r="B452" s="34"/>
      <c r="C452" s="245" t="s">
        <v>1133</v>
      </c>
      <c r="D452" s="34"/>
      <c r="E452" s="253" t="s">
        <v>1134</v>
      </c>
      <c r="F452" s="494">
        <f>F453</f>
        <v>20.399999999999999</v>
      </c>
      <c r="G452" s="494"/>
      <c r="H452" s="494">
        <f>H453</f>
        <v>20.399999999999999</v>
      </c>
      <c r="I452" s="247"/>
      <c r="J452" s="247"/>
      <c r="K452" s="247">
        <v>0</v>
      </c>
      <c r="L452" s="247"/>
      <c r="M452" s="247"/>
      <c r="N452" s="247">
        <v>0</v>
      </c>
    </row>
    <row r="453" spans="1:14" ht="26.25" x14ac:dyDescent="0.25">
      <c r="A453" s="229"/>
      <c r="B453" s="7"/>
      <c r="C453" s="27" t="s">
        <v>1132</v>
      </c>
      <c r="D453" s="7"/>
      <c r="E453" s="207" t="s">
        <v>1135</v>
      </c>
      <c r="F453" s="513">
        <f>F454</f>
        <v>20.399999999999999</v>
      </c>
      <c r="G453" s="513"/>
      <c r="H453" s="513">
        <f>H454</f>
        <v>20.399999999999999</v>
      </c>
      <c r="I453" s="433"/>
      <c r="J453" s="433"/>
      <c r="K453" s="433">
        <v>0</v>
      </c>
      <c r="L453" s="433"/>
      <c r="M453" s="433"/>
      <c r="N453" s="433">
        <v>0</v>
      </c>
    </row>
    <row r="454" spans="1:14" ht="25.5" x14ac:dyDescent="0.25">
      <c r="A454" s="229"/>
      <c r="B454" s="7"/>
      <c r="C454" s="7"/>
      <c r="D454" s="27" t="s">
        <v>17</v>
      </c>
      <c r="E454" s="28" t="s">
        <v>18</v>
      </c>
      <c r="F454" s="513">
        <v>20.399999999999999</v>
      </c>
      <c r="G454" s="513"/>
      <c r="H454" s="513">
        <v>20.399999999999999</v>
      </c>
      <c r="I454" s="433"/>
      <c r="J454" s="433"/>
      <c r="K454" s="433">
        <v>0</v>
      </c>
      <c r="L454" s="433"/>
      <c r="M454" s="433"/>
      <c r="N454" s="433">
        <v>0</v>
      </c>
    </row>
    <row r="455" spans="1:14" ht="25.5" x14ac:dyDescent="0.25">
      <c r="A455" s="244"/>
      <c r="B455" s="34"/>
      <c r="C455" s="245" t="s">
        <v>296</v>
      </c>
      <c r="D455" s="34"/>
      <c r="E455" s="253" t="s">
        <v>297</v>
      </c>
      <c r="F455" s="494">
        <f t="shared" ref="F455:N456" si="73">F456</f>
        <v>6638.6</v>
      </c>
      <c r="G455" s="494">
        <f t="shared" si="73"/>
        <v>3.4000000000000009E-2</v>
      </c>
      <c r="H455" s="494">
        <f t="shared" si="73"/>
        <v>6638.634</v>
      </c>
      <c r="I455" s="247">
        <f t="shared" si="73"/>
        <v>6638.7</v>
      </c>
      <c r="J455" s="247"/>
      <c r="K455" s="247">
        <f t="shared" si="73"/>
        <v>6638.7</v>
      </c>
      <c r="L455" s="247">
        <f t="shared" si="73"/>
        <v>7376.2</v>
      </c>
      <c r="M455" s="247"/>
      <c r="N455" s="247">
        <f t="shared" si="73"/>
        <v>7376.2</v>
      </c>
    </row>
    <row r="456" spans="1:14" ht="26.25" x14ac:dyDescent="0.25">
      <c r="A456" s="229"/>
      <c r="B456" s="7"/>
      <c r="C456" s="248" t="s">
        <v>298</v>
      </c>
      <c r="D456" s="7"/>
      <c r="E456" s="207" t="s">
        <v>1037</v>
      </c>
      <c r="F456" s="472">
        <f t="shared" si="73"/>
        <v>6638.6</v>
      </c>
      <c r="G456" s="473">
        <f t="shared" si="73"/>
        <v>3.4000000000000009E-2</v>
      </c>
      <c r="H456" s="472">
        <f t="shared" si="73"/>
        <v>6638.634</v>
      </c>
      <c r="I456" s="29">
        <f t="shared" si="73"/>
        <v>6638.7</v>
      </c>
      <c r="J456" s="29"/>
      <c r="K456" s="29">
        <f t="shared" si="73"/>
        <v>6638.7</v>
      </c>
      <c r="L456" s="29">
        <f t="shared" si="73"/>
        <v>7376.2</v>
      </c>
      <c r="M456" s="29"/>
      <c r="N456" s="29">
        <f t="shared" si="73"/>
        <v>7376.2</v>
      </c>
    </row>
    <row r="457" spans="1:14" ht="25.5" x14ac:dyDescent="0.25">
      <c r="A457" s="229"/>
      <c r="B457" s="7"/>
      <c r="C457" s="230"/>
      <c r="D457" s="27" t="s">
        <v>17</v>
      </c>
      <c r="E457" s="28" t="s">
        <v>18</v>
      </c>
      <c r="F457" s="472">
        <f>F458+F459+F460</f>
        <v>6638.6</v>
      </c>
      <c r="G457" s="470">
        <f>G458+G459+G460</f>
        <v>3.4000000000000009E-2</v>
      </c>
      <c r="H457" s="476">
        <f t="shared" ref="H457:H459" si="74">SUM(F457:G457)</f>
        <v>6638.634</v>
      </c>
      <c r="I457" s="29">
        <f>I458+I459+I460</f>
        <v>6638.7</v>
      </c>
      <c r="J457" s="29"/>
      <c r="K457" s="29">
        <f>K458+K459+K460</f>
        <v>6638.7</v>
      </c>
      <c r="L457" s="29">
        <f>L458+L459+L460</f>
        <v>7376.2</v>
      </c>
      <c r="M457" s="29"/>
      <c r="N457" s="29">
        <f>N458+N459+N460</f>
        <v>7376.2</v>
      </c>
    </row>
    <row r="458" spans="1:14" x14ac:dyDescent="0.25">
      <c r="A458" s="229"/>
      <c r="B458" s="7"/>
      <c r="C458" s="248"/>
      <c r="D458" s="7"/>
      <c r="E458" s="30" t="s">
        <v>266</v>
      </c>
      <c r="F458" s="476">
        <v>5676.1</v>
      </c>
      <c r="G458" s="470">
        <v>3.2000000000000001E-2</v>
      </c>
      <c r="H458" s="476">
        <f t="shared" si="74"/>
        <v>5676.1320000000005</v>
      </c>
      <c r="I458" s="38">
        <v>5676.1</v>
      </c>
      <c r="J458" s="38"/>
      <c r="K458" s="38">
        <v>5676.1</v>
      </c>
      <c r="L458" s="38">
        <v>6306.7</v>
      </c>
      <c r="M458" s="38"/>
      <c r="N458" s="38">
        <v>6306.7</v>
      </c>
    </row>
    <row r="459" spans="1:14" x14ac:dyDescent="0.25">
      <c r="A459" s="229"/>
      <c r="B459" s="7"/>
      <c r="C459" s="248"/>
      <c r="D459" s="7"/>
      <c r="E459" s="28" t="s">
        <v>255</v>
      </c>
      <c r="F459" s="476">
        <v>298.7</v>
      </c>
      <c r="G459" s="470">
        <v>3.9E-2</v>
      </c>
      <c r="H459" s="476">
        <f t="shared" si="74"/>
        <v>298.73899999999998</v>
      </c>
      <c r="I459" s="38">
        <v>298.7</v>
      </c>
      <c r="J459" s="38"/>
      <c r="K459" s="38">
        <v>298.7</v>
      </c>
      <c r="L459" s="38">
        <v>331.9</v>
      </c>
      <c r="M459" s="38"/>
      <c r="N459" s="38">
        <v>331.9</v>
      </c>
    </row>
    <row r="460" spans="1:14" x14ac:dyDescent="0.25">
      <c r="A460" s="229"/>
      <c r="B460" s="7"/>
      <c r="C460" s="230"/>
      <c r="D460" s="27"/>
      <c r="E460" s="30" t="s">
        <v>192</v>
      </c>
      <c r="F460" s="476">
        <v>663.8</v>
      </c>
      <c r="G460" s="470">
        <v>-3.6999999999999998E-2</v>
      </c>
      <c r="H460" s="476">
        <f>SUM(F460:G460)</f>
        <v>663.76299999999992</v>
      </c>
      <c r="I460" s="38">
        <v>663.9</v>
      </c>
      <c r="J460" s="38"/>
      <c r="K460" s="38">
        <v>663.9</v>
      </c>
      <c r="L460" s="38">
        <v>737.6</v>
      </c>
      <c r="M460" s="38"/>
      <c r="N460" s="38">
        <v>737.6</v>
      </c>
    </row>
    <row r="461" spans="1:14" ht="25.5" x14ac:dyDescent="0.25">
      <c r="A461" s="244"/>
      <c r="B461" s="34"/>
      <c r="C461" s="245" t="s">
        <v>779</v>
      </c>
      <c r="D461" s="34"/>
      <c r="E461" s="253" t="s">
        <v>297</v>
      </c>
      <c r="F461" s="494">
        <f>SUM(F462)</f>
        <v>2330.1</v>
      </c>
      <c r="G461" s="494">
        <f>SUM(G462)</f>
        <v>-4.4000000000000004E-2</v>
      </c>
      <c r="H461" s="494">
        <f>SUM(H462)</f>
        <v>2330.0559999999996</v>
      </c>
      <c r="I461" s="247">
        <f>SUM(I462)</f>
        <v>2596.8999999999996</v>
      </c>
      <c r="J461" s="247"/>
      <c r="K461" s="247">
        <f>SUM(K462)</f>
        <v>2596.8999999999996</v>
      </c>
      <c r="L461" s="247">
        <f>SUM(L462)</f>
        <v>2560</v>
      </c>
      <c r="M461" s="247"/>
      <c r="N461" s="247">
        <f>SUM(N462)</f>
        <v>2560</v>
      </c>
    </row>
    <row r="462" spans="1:14" ht="39" x14ac:dyDescent="0.25">
      <c r="A462" s="229"/>
      <c r="B462" s="7"/>
      <c r="C462" s="32" t="s">
        <v>780</v>
      </c>
      <c r="D462" s="33"/>
      <c r="E462" s="6" t="s">
        <v>781</v>
      </c>
      <c r="F462" s="476">
        <f>F463</f>
        <v>2330.1</v>
      </c>
      <c r="G462" s="482">
        <f>G463</f>
        <v>-4.4000000000000004E-2</v>
      </c>
      <c r="H462" s="476">
        <f>H463</f>
        <v>2330.0559999999996</v>
      </c>
      <c r="I462" s="38">
        <f>I463</f>
        <v>2596.8999999999996</v>
      </c>
      <c r="J462" s="38"/>
      <c r="K462" s="38">
        <f>K463</f>
        <v>2596.8999999999996</v>
      </c>
      <c r="L462" s="38">
        <f>L463</f>
        <v>2560</v>
      </c>
      <c r="M462" s="38"/>
      <c r="N462" s="38">
        <f>N463</f>
        <v>2560</v>
      </c>
    </row>
    <row r="463" spans="1:14" ht="26.25" x14ac:dyDescent="0.25">
      <c r="A463" s="229"/>
      <c r="B463" s="7"/>
      <c r="C463" s="33"/>
      <c r="D463" s="32" t="s">
        <v>17</v>
      </c>
      <c r="E463" s="26" t="s">
        <v>18</v>
      </c>
      <c r="F463" s="476">
        <f>F464+F465</f>
        <v>2330.1</v>
      </c>
      <c r="G463" s="470">
        <f>G464+G465</f>
        <v>-4.4000000000000004E-2</v>
      </c>
      <c r="H463" s="476">
        <f>H464+H465</f>
        <v>2330.0559999999996</v>
      </c>
      <c r="I463" s="38">
        <f>I464+I465</f>
        <v>2596.8999999999996</v>
      </c>
      <c r="J463" s="38"/>
      <c r="K463" s="38">
        <f>K464+K465</f>
        <v>2596.8999999999996</v>
      </c>
      <c r="L463" s="38">
        <f>L464+L465</f>
        <v>2560</v>
      </c>
      <c r="M463" s="38"/>
      <c r="N463" s="38">
        <f>N464+N465</f>
        <v>2560</v>
      </c>
    </row>
    <row r="464" spans="1:14" x14ac:dyDescent="0.25">
      <c r="A464" s="229"/>
      <c r="B464" s="7"/>
      <c r="C464" s="32"/>
      <c r="D464" s="33"/>
      <c r="E464" s="26" t="s">
        <v>255</v>
      </c>
      <c r="F464" s="476">
        <v>2097.1</v>
      </c>
      <c r="G464" s="470">
        <v>-0.05</v>
      </c>
      <c r="H464" s="476">
        <f>SUM(F464:G464)</f>
        <v>2097.0499999999997</v>
      </c>
      <c r="I464" s="38">
        <v>2337.1999999999998</v>
      </c>
      <c r="J464" s="38"/>
      <c r="K464" s="38">
        <v>2337.1999999999998</v>
      </c>
      <c r="L464" s="38">
        <v>2304</v>
      </c>
      <c r="M464" s="38"/>
      <c r="N464" s="38">
        <v>2304</v>
      </c>
    </row>
    <row r="465" spans="1:14" x14ac:dyDescent="0.25">
      <c r="A465" s="229"/>
      <c r="B465" s="7"/>
      <c r="C465" s="33"/>
      <c r="D465" s="32"/>
      <c r="E465" s="6" t="s">
        <v>192</v>
      </c>
      <c r="F465" s="476">
        <v>233</v>
      </c>
      <c r="G465" s="470">
        <v>6.0000000000000001E-3</v>
      </c>
      <c r="H465" s="476">
        <f>SUM(F465:G465)</f>
        <v>233.006</v>
      </c>
      <c r="I465" s="38">
        <v>259.7</v>
      </c>
      <c r="J465" s="38"/>
      <c r="K465" s="38">
        <v>259.7</v>
      </c>
      <c r="L465" s="38">
        <v>256</v>
      </c>
      <c r="M465" s="38"/>
      <c r="N465" s="38">
        <v>256</v>
      </c>
    </row>
    <row r="466" spans="1:14" x14ac:dyDescent="0.25">
      <c r="A466" s="229"/>
      <c r="B466" s="7" t="s">
        <v>885</v>
      </c>
      <c r="C466" s="230"/>
      <c r="D466" s="7"/>
      <c r="E466" s="231" t="s">
        <v>886</v>
      </c>
      <c r="F466" s="491">
        <f>F468</f>
        <v>19144</v>
      </c>
      <c r="G466" s="491">
        <f>G468</f>
        <v>37.099999999999994</v>
      </c>
      <c r="H466" s="491">
        <f>H468</f>
        <v>19181.099999999999</v>
      </c>
      <c r="I466" s="232">
        <f>I468</f>
        <v>15463.599999999999</v>
      </c>
      <c r="J466" s="232"/>
      <c r="K466" s="232">
        <f>K468</f>
        <v>15463.599999999999</v>
      </c>
      <c r="L466" s="232">
        <f>L468</f>
        <v>15463.599999999999</v>
      </c>
      <c r="M466" s="232"/>
      <c r="N466" s="232">
        <f>N468</f>
        <v>15463.599999999999</v>
      </c>
    </row>
    <row r="467" spans="1:14" ht="25.5" x14ac:dyDescent="0.25">
      <c r="A467" s="229"/>
      <c r="B467" s="7"/>
      <c r="C467" s="230" t="s">
        <v>9</v>
      </c>
      <c r="D467" s="7"/>
      <c r="E467" s="233" t="s">
        <v>10</v>
      </c>
      <c r="F467" s="491">
        <f t="shared" ref="F467:N470" si="75">F468</f>
        <v>19144</v>
      </c>
      <c r="G467" s="491">
        <f t="shared" si="75"/>
        <v>37.099999999999994</v>
      </c>
      <c r="H467" s="491">
        <f t="shared" si="75"/>
        <v>19181.099999999999</v>
      </c>
      <c r="I467" s="232">
        <f t="shared" si="75"/>
        <v>15463.599999999999</v>
      </c>
      <c r="J467" s="232"/>
      <c r="K467" s="232">
        <f t="shared" si="75"/>
        <v>15463.599999999999</v>
      </c>
      <c r="L467" s="232">
        <f t="shared" si="75"/>
        <v>15463.599999999999</v>
      </c>
      <c r="M467" s="232"/>
      <c r="N467" s="232">
        <f t="shared" si="75"/>
        <v>15463.599999999999</v>
      </c>
    </row>
    <row r="468" spans="1:14" ht="25.5" x14ac:dyDescent="0.25">
      <c r="A468" s="234"/>
      <c r="B468" s="235"/>
      <c r="C468" s="236" t="s">
        <v>260</v>
      </c>
      <c r="D468" s="235"/>
      <c r="E468" s="305" t="s">
        <v>261</v>
      </c>
      <c r="F468" s="492">
        <f>F469+F476</f>
        <v>19144</v>
      </c>
      <c r="G468" s="492">
        <f>G469+G476</f>
        <v>37.099999999999994</v>
      </c>
      <c r="H468" s="492">
        <f>H469+H476</f>
        <v>19181.099999999999</v>
      </c>
      <c r="I468" s="238">
        <f>I469+I476</f>
        <v>15463.599999999999</v>
      </c>
      <c r="J468" s="238"/>
      <c r="K468" s="238">
        <f>K469+K476</f>
        <v>15463.599999999999</v>
      </c>
      <c r="L468" s="238">
        <f>L469+L476</f>
        <v>15463.599999999999</v>
      </c>
      <c r="M468" s="238"/>
      <c r="N468" s="238">
        <f>N469+N476</f>
        <v>15463.599999999999</v>
      </c>
    </row>
    <row r="469" spans="1:14" ht="25.5" x14ac:dyDescent="0.25">
      <c r="A469" s="286"/>
      <c r="B469" s="308"/>
      <c r="C469" s="309" t="s">
        <v>268</v>
      </c>
      <c r="D469" s="308"/>
      <c r="E469" s="310" t="s">
        <v>269</v>
      </c>
      <c r="F469" s="505">
        <f t="shared" si="75"/>
        <v>11137.599999999999</v>
      </c>
      <c r="G469" s="505">
        <f t="shared" si="75"/>
        <v>0</v>
      </c>
      <c r="H469" s="505">
        <f t="shared" si="75"/>
        <v>11137.599999999999</v>
      </c>
      <c r="I469" s="311">
        <f t="shared" si="75"/>
        <v>14026.199999999999</v>
      </c>
      <c r="J469" s="311"/>
      <c r="K469" s="311">
        <f t="shared" si="75"/>
        <v>14026.199999999999</v>
      </c>
      <c r="L469" s="311">
        <f t="shared" si="75"/>
        <v>14026.199999999999</v>
      </c>
      <c r="M469" s="311"/>
      <c r="N469" s="311">
        <f t="shared" si="75"/>
        <v>14026.199999999999</v>
      </c>
    </row>
    <row r="470" spans="1:14" ht="38.25" customHeight="1" x14ac:dyDescent="0.25">
      <c r="A470" s="244"/>
      <c r="B470" s="34"/>
      <c r="C470" s="245" t="s">
        <v>287</v>
      </c>
      <c r="D470" s="34"/>
      <c r="E470" s="253" t="s">
        <v>887</v>
      </c>
      <c r="F470" s="494">
        <f t="shared" si="75"/>
        <v>11137.599999999999</v>
      </c>
      <c r="G470" s="494">
        <f t="shared" si="75"/>
        <v>0</v>
      </c>
      <c r="H470" s="494">
        <f t="shared" si="75"/>
        <v>11137.599999999999</v>
      </c>
      <c r="I470" s="247">
        <f t="shared" si="75"/>
        <v>14026.199999999999</v>
      </c>
      <c r="J470" s="247"/>
      <c r="K470" s="247">
        <f t="shared" si="75"/>
        <v>14026.199999999999</v>
      </c>
      <c r="L470" s="247">
        <f t="shared" si="75"/>
        <v>14026.199999999999</v>
      </c>
      <c r="M470" s="247"/>
      <c r="N470" s="247">
        <f t="shared" si="75"/>
        <v>14026.199999999999</v>
      </c>
    </row>
    <row r="471" spans="1:14" ht="25.5" x14ac:dyDescent="0.25">
      <c r="A471" s="229"/>
      <c r="B471" s="7"/>
      <c r="C471" s="248" t="s">
        <v>289</v>
      </c>
      <c r="D471" s="7"/>
      <c r="E471" s="273" t="s">
        <v>290</v>
      </c>
      <c r="F471" s="472">
        <f>F472+F473+F475+F474</f>
        <v>11137.599999999999</v>
      </c>
      <c r="G471" s="472">
        <f>G472+G473+G475+G474</f>
        <v>0</v>
      </c>
      <c r="H471" s="472">
        <f>H472+H473+H475+H474</f>
        <v>11137.599999999999</v>
      </c>
      <c r="I471" s="29">
        <f>I472+I473+I475</f>
        <v>14026.199999999999</v>
      </c>
      <c r="J471" s="29"/>
      <c r="K471" s="29">
        <f>K472+K473+K475</f>
        <v>14026.199999999999</v>
      </c>
      <c r="L471" s="29">
        <f>L472+L473+L475</f>
        <v>14026.199999999999</v>
      </c>
      <c r="M471" s="29"/>
      <c r="N471" s="29">
        <f>N472+N473+N475</f>
        <v>14026.199999999999</v>
      </c>
    </row>
    <row r="472" spans="1:14" ht="39" x14ac:dyDescent="0.25">
      <c r="A472" s="229"/>
      <c r="B472" s="7"/>
      <c r="C472" s="230"/>
      <c r="D472" s="27" t="s">
        <v>30</v>
      </c>
      <c r="E472" s="26" t="s">
        <v>450</v>
      </c>
      <c r="F472" s="472">
        <v>4893.3999999999996</v>
      </c>
      <c r="G472" s="472"/>
      <c r="H472" s="472">
        <f>SUM(F472:G472)</f>
        <v>4893.3999999999996</v>
      </c>
      <c r="I472" s="29">
        <v>7175.9</v>
      </c>
      <c r="J472" s="29"/>
      <c r="K472" s="29">
        <v>7175.9</v>
      </c>
      <c r="L472" s="29">
        <v>7175.9</v>
      </c>
      <c r="M472" s="29"/>
      <c r="N472" s="29">
        <v>7175.9</v>
      </c>
    </row>
    <row r="473" spans="1:14" ht="25.5" x14ac:dyDescent="0.25">
      <c r="A473" s="229"/>
      <c r="B473" s="7"/>
      <c r="C473" s="230"/>
      <c r="D473" s="27" t="s">
        <v>17</v>
      </c>
      <c r="E473" s="28" t="s">
        <v>18</v>
      </c>
      <c r="F473" s="473">
        <v>5893.1</v>
      </c>
      <c r="G473" s="473"/>
      <c r="H473" s="473">
        <f>F473+G473</f>
        <v>5893.1</v>
      </c>
      <c r="I473" s="29">
        <v>6793.7</v>
      </c>
      <c r="J473" s="29"/>
      <c r="K473" s="29">
        <v>6793.7</v>
      </c>
      <c r="L473" s="29">
        <v>6793.7</v>
      </c>
      <c r="M473" s="29"/>
      <c r="N473" s="29">
        <v>6793.7</v>
      </c>
    </row>
    <row r="474" spans="1:14" x14ac:dyDescent="0.25">
      <c r="A474" s="229"/>
      <c r="B474" s="7"/>
      <c r="C474" s="230"/>
      <c r="D474" s="27" t="s">
        <v>37</v>
      </c>
      <c r="E474" s="28" t="s">
        <v>38</v>
      </c>
      <c r="F474" s="472">
        <v>109.3</v>
      </c>
      <c r="G474" s="472"/>
      <c r="H474" s="472">
        <f>SUM(F474:G474)</f>
        <v>109.3</v>
      </c>
      <c r="I474" s="29">
        <v>0</v>
      </c>
      <c r="J474" s="29"/>
      <c r="K474" s="29">
        <v>0</v>
      </c>
      <c r="L474" s="29">
        <v>0</v>
      </c>
      <c r="M474" s="29"/>
      <c r="N474" s="29">
        <v>0</v>
      </c>
    </row>
    <row r="475" spans="1:14" ht="15" customHeight="1" x14ac:dyDescent="0.25">
      <c r="A475" s="229"/>
      <c r="B475" s="7"/>
      <c r="C475" s="230"/>
      <c r="D475" s="27" t="s">
        <v>32</v>
      </c>
      <c r="E475" s="28" t="s">
        <v>33</v>
      </c>
      <c r="F475" s="472">
        <v>241.79999999999998</v>
      </c>
      <c r="G475" s="472"/>
      <c r="H475" s="472">
        <f>SUM(F475:G475)</f>
        <v>241.79999999999998</v>
      </c>
      <c r="I475" s="29">
        <v>56.6</v>
      </c>
      <c r="J475" s="29"/>
      <c r="K475" s="29">
        <v>56.6</v>
      </c>
      <c r="L475" s="29">
        <v>56.6</v>
      </c>
      <c r="M475" s="29"/>
      <c r="N475" s="29">
        <v>56.6</v>
      </c>
    </row>
    <row r="476" spans="1:14" ht="15" customHeight="1" x14ac:dyDescent="0.25">
      <c r="A476" s="266"/>
      <c r="B476" s="267"/>
      <c r="C476" s="268" t="s">
        <v>291</v>
      </c>
      <c r="D476" s="267"/>
      <c r="E476" s="315" t="s">
        <v>878</v>
      </c>
      <c r="F476" s="504">
        <f>F477</f>
        <v>8006.4</v>
      </c>
      <c r="G476" s="504">
        <f>G477</f>
        <v>37.099999999999994</v>
      </c>
      <c r="H476" s="504">
        <f>H477</f>
        <v>8043.5</v>
      </c>
      <c r="I476" s="271">
        <f t="shared" ref="I476:N476" si="76">I477</f>
        <v>1437.4</v>
      </c>
      <c r="J476" s="271"/>
      <c r="K476" s="271">
        <f t="shared" si="76"/>
        <v>1437.4</v>
      </c>
      <c r="L476" s="271">
        <f t="shared" si="76"/>
        <v>1437.4</v>
      </c>
      <c r="M476" s="271"/>
      <c r="N476" s="271">
        <f t="shared" si="76"/>
        <v>1437.4</v>
      </c>
    </row>
    <row r="477" spans="1:14" ht="25.5" x14ac:dyDescent="0.25">
      <c r="A477" s="244"/>
      <c r="B477" s="34"/>
      <c r="C477" s="245" t="s">
        <v>1014</v>
      </c>
      <c r="D477" s="34"/>
      <c r="E477" s="253" t="s">
        <v>1016</v>
      </c>
      <c r="F477" s="494">
        <f>F478+F480</f>
        <v>8006.4</v>
      </c>
      <c r="G477" s="494">
        <f>G478+G480+G482</f>
        <v>37.099999999999994</v>
      </c>
      <c r="H477" s="494">
        <f>H478+H480+H482</f>
        <v>8043.5</v>
      </c>
      <c r="I477" s="247">
        <f>I478</f>
        <v>1437.4</v>
      </c>
      <c r="J477" s="247"/>
      <c r="K477" s="247">
        <f>K478</f>
        <v>1437.4</v>
      </c>
      <c r="L477" s="247">
        <f>L478</f>
        <v>1437.4</v>
      </c>
      <c r="M477" s="247"/>
      <c r="N477" s="247">
        <f>N478</f>
        <v>1437.4</v>
      </c>
    </row>
    <row r="478" spans="1:14" ht="25.5" x14ac:dyDescent="0.25">
      <c r="A478" s="229"/>
      <c r="B478" s="7"/>
      <c r="C478" s="157" t="s">
        <v>1035</v>
      </c>
      <c r="D478" s="157"/>
      <c r="E478" s="264" t="s">
        <v>1015</v>
      </c>
      <c r="F478" s="469">
        <f>F479</f>
        <v>6250.7</v>
      </c>
      <c r="G478" s="469">
        <f>G479</f>
        <v>0</v>
      </c>
      <c r="H478" s="469">
        <f>H479</f>
        <v>6250.7</v>
      </c>
      <c r="I478" s="160">
        <f t="shared" ref="I478:N478" si="77">I479</f>
        <v>1437.4</v>
      </c>
      <c r="J478" s="160"/>
      <c r="K478" s="160">
        <f t="shared" si="77"/>
        <v>1437.4</v>
      </c>
      <c r="L478" s="160">
        <f t="shared" si="77"/>
        <v>1437.4</v>
      </c>
      <c r="M478" s="160"/>
      <c r="N478" s="160">
        <f t="shared" si="77"/>
        <v>1437.4</v>
      </c>
    </row>
    <row r="479" spans="1:14" ht="25.5" x14ac:dyDescent="0.25">
      <c r="A479" s="229"/>
      <c r="B479" s="7"/>
      <c r="C479" s="157"/>
      <c r="D479" s="157" t="s">
        <v>64</v>
      </c>
      <c r="E479" s="28" t="s">
        <v>65</v>
      </c>
      <c r="F479" s="160">
        <v>6250.7</v>
      </c>
      <c r="G479" s="469"/>
      <c r="H479" s="469">
        <f>SUM(F479:G479)</f>
        <v>6250.7</v>
      </c>
      <c r="I479" s="160">
        <v>1437.4</v>
      </c>
      <c r="J479" s="160"/>
      <c r="K479" s="160">
        <v>1437.4</v>
      </c>
      <c r="L479" s="160">
        <v>1437.4</v>
      </c>
      <c r="M479" s="160"/>
      <c r="N479" s="160">
        <v>1437.4</v>
      </c>
    </row>
    <row r="480" spans="1:14" x14ac:dyDescent="0.25">
      <c r="A480" s="229"/>
      <c r="B480" s="7"/>
      <c r="C480" s="157" t="s">
        <v>1036</v>
      </c>
      <c r="D480" s="157"/>
      <c r="E480" s="264" t="s">
        <v>1018</v>
      </c>
      <c r="F480" s="469">
        <f>F481</f>
        <v>1755.7</v>
      </c>
      <c r="G480" s="470">
        <f>G481</f>
        <v>-2.7</v>
      </c>
      <c r="H480" s="469">
        <f>H481</f>
        <v>1753</v>
      </c>
      <c r="I480" s="160">
        <f t="shared" ref="I480:N482" si="78">I481</f>
        <v>0</v>
      </c>
      <c r="J480" s="160"/>
      <c r="K480" s="160">
        <f t="shared" si="78"/>
        <v>0</v>
      </c>
      <c r="L480" s="160">
        <f t="shared" si="78"/>
        <v>0</v>
      </c>
      <c r="M480" s="160"/>
      <c r="N480" s="160">
        <f t="shared" si="78"/>
        <v>0</v>
      </c>
    </row>
    <row r="481" spans="1:14" ht="25.5" x14ac:dyDescent="0.25">
      <c r="A481" s="229"/>
      <c r="B481" s="7"/>
      <c r="C481" s="157"/>
      <c r="D481" s="157" t="s">
        <v>64</v>
      </c>
      <c r="E481" s="28" t="s">
        <v>65</v>
      </c>
      <c r="F481" s="182">
        <v>1755.7</v>
      </c>
      <c r="G481" s="470">
        <v>-2.7</v>
      </c>
      <c r="H481" s="469">
        <f>SUM(F481:G481)</f>
        <v>1753</v>
      </c>
      <c r="I481" s="160">
        <v>0</v>
      </c>
      <c r="J481" s="160"/>
      <c r="K481" s="160">
        <v>0</v>
      </c>
      <c r="L481" s="160">
        <v>0</v>
      </c>
      <c r="M481" s="160"/>
      <c r="N481" s="160">
        <v>0</v>
      </c>
    </row>
    <row r="482" spans="1:14" ht="25.5" x14ac:dyDescent="0.25">
      <c r="A482" s="229"/>
      <c r="B482" s="7"/>
      <c r="C482" s="520" t="s">
        <v>1213</v>
      </c>
      <c r="D482" s="520"/>
      <c r="E482" s="264" t="s">
        <v>1214</v>
      </c>
      <c r="F482" s="469"/>
      <c r="G482" s="470">
        <f>G483</f>
        <v>39.799999999999997</v>
      </c>
      <c r="H482" s="469">
        <f>H483</f>
        <v>39.799999999999997</v>
      </c>
      <c r="I482" s="160">
        <f t="shared" si="78"/>
        <v>0</v>
      </c>
      <c r="J482" s="160"/>
      <c r="K482" s="160">
        <f t="shared" si="78"/>
        <v>0</v>
      </c>
      <c r="L482" s="160">
        <f t="shared" si="78"/>
        <v>0</v>
      </c>
      <c r="M482" s="160"/>
      <c r="N482" s="160">
        <f t="shared" si="78"/>
        <v>0</v>
      </c>
    </row>
    <row r="483" spans="1:14" ht="25.5" x14ac:dyDescent="0.25">
      <c r="A483" s="229"/>
      <c r="B483" s="7"/>
      <c r="C483" s="520"/>
      <c r="D483" s="520" t="s">
        <v>64</v>
      </c>
      <c r="E483" s="28" t="s">
        <v>65</v>
      </c>
      <c r="F483" s="182"/>
      <c r="G483" s="470">
        <v>39.799999999999997</v>
      </c>
      <c r="H483" s="469">
        <f>SUM(F483:G483)</f>
        <v>39.799999999999997</v>
      </c>
      <c r="I483" s="160">
        <v>0</v>
      </c>
      <c r="J483" s="160"/>
      <c r="K483" s="160">
        <v>0</v>
      </c>
      <c r="L483" s="160">
        <v>0</v>
      </c>
      <c r="M483" s="160"/>
      <c r="N483" s="160">
        <v>0</v>
      </c>
    </row>
    <row r="484" spans="1:14" s="258" customFormat="1" x14ac:dyDescent="0.25">
      <c r="A484" s="229"/>
      <c r="B484" s="7" t="s">
        <v>888</v>
      </c>
      <c r="C484" s="230"/>
      <c r="D484" s="229"/>
      <c r="E484" s="231" t="s">
        <v>889</v>
      </c>
      <c r="F484" s="491">
        <f t="shared" ref="F484:N488" si="79">F485</f>
        <v>64075.1</v>
      </c>
      <c r="G484" s="601">
        <f t="shared" si="79"/>
        <v>266.8</v>
      </c>
      <c r="H484" s="491">
        <f t="shared" si="79"/>
        <v>64341.899999999994</v>
      </c>
      <c r="I484" s="232">
        <f t="shared" si="79"/>
        <v>72008.099999999991</v>
      </c>
      <c r="J484" s="232">
        <f t="shared" si="79"/>
        <v>0</v>
      </c>
      <c r="K484" s="232">
        <f t="shared" si="79"/>
        <v>72008.099999999991</v>
      </c>
      <c r="L484" s="232">
        <f t="shared" si="79"/>
        <v>10359.5</v>
      </c>
      <c r="M484" s="232">
        <f t="shared" si="79"/>
        <v>0</v>
      </c>
      <c r="N484" s="232">
        <f t="shared" si="79"/>
        <v>10359.5</v>
      </c>
    </row>
    <row r="485" spans="1:14" s="258" customFormat="1" x14ac:dyDescent="0.25">
      <c r="A485" s="229"/>
      <c r="B485" s="7" t="s">
        <v>890</v>
      </c>
      <c r="C485" s="230"/>
      <c r="D485" s="229"/>
      <c r="E485" s="231" t="s">
        <v>891</v>
      </c>
      <c r="F485" s="491">
        <f>F486+F495</f>
        <v>64075.1</v>
      </c>
      <c r="G485" s="601">
        <f>G486+G495</f>
        <v>266.8</v>
      </c>
      <c r="H485" s="491">
        <f>H486+H495</f>
        <v>64341.899999999994</v>
      </c>
      <c r="I485" s="232">
        <f t="shared" si="79"/>
        <v>72008.099999999991</v>
      </c>
      <c r="J485" s="232">
        <f t="shared" si="79"/>
        <v>0</v>
      </c>
      <c r="K485" s="232">
        <f t="shared" si="79"/>
        <v>72008.099999999991</v>
      </c>
      <c r="L485" s="232">
        <f t="shared" si="79"/>
        <v>10359.5</v>
      </c>
      <c r="M485" s="232">
        <f t="shared" si="79"/>
        <v>0</v>
      </c>
      <c r="N485" s="232">
        <f t="shared" si="79"/>
        <v>10359.5</v>
      </c>
    </row>
    <row r="486" spans="1:14" s="258" customFormat="1" ht="25.5" x14ac:dyDescent="0.25">
      <c r="A486" s="229"/>
      <c r="B486" s="7"/>
      <c r="C486" s="230" t="s">
        <v>9</v>
      </c>
      <c r="D486" s="229"/>
      <c r="E486" s="233" t="s">
        <v>10</v>
      </c>
      <c r="F486" s="491">
        <f t="shared" si="79"/>
        <v>62036.7</v>
      </c>
      <c r="G486" s="491">
        <f t="shared" si="79"/>
        <v>0</v>
      </c>
      <c r="H486" s="491">
        <f t="shared" si="79"/>
        <v>62036.7</v>
      </c>
      <c r="I486" s="232">
        <f t="shared" si="79"/>
        <v>72008.099999999991</v>
      </c>
      <c r="J486" s="232">
        <f t="shared" si="79"/>
        <v>0</v>
      </c>
      <c r="K486" s="232">
        <f t="shared" si="79"/>
        <v>72008.099999999991</v>
      </c>
      <c r="L486" s="232">
        <f t="shared" si="79"/>
        <v>10359.5</v>
      </c>
      <c r="M486" s="232">
        <f t="shared" si="79"/>
        <v>0</v>
      </c>
      <c r="N486" s="232">
        <f t="shared" si="79"/>
        <v>10359.5</v>
      </c>
    </row>
    <row r="487" spans="1:14" ht="25.5" x14ac:dyDescent="0.25">
      <c r="A487" s="234"/>
      <c r="B487" s="235"/>
      <c r="C487" s="236" t="s">
        <v>56</v>
      </c>
      <c r="D487" s="235"/>
      <c r="E487" s="305" t="s">
        <v>57</v>
      </c>
      <c r="F487" s="492">
        <f t="shared" si="79"/>
        <v>62036.7</v>
      </c>
      <c r="G487" s="492">
        <f t="shared" si="79"/>
        <v>0</v>
      </c>
      <c r="H487" s="492">
        <f t="shared" si="79"/>
        <v>62036.7</v>
      </c>
      <c r="I487" s="238">
        <f t="shared" si="79"/>
        <v>72008.099999999991</v>
      </c>
      <c r="J487" s="238">
        <f t="shared" si="79"/>
        <v>0</v>
      </c>
      <c r="K487" s="238">
        <f t="shared" si="79"/>
        <v>72008.099999999991</v>
      </c>
      <c r="L487" s="238">
        <f t="shared" si="79"/>
        <v>10359.5</v>
      </c>
      <c r="M487" s="238">
        <f t="shared" si="79"/>
        <v>0</v>
      </c>
      <c r="N487" s="238">
        <f t="shared" si="79"/>
        <v>10359.5</v>
      </c>
    </row>
    <row r="488" spans="1:14" x14ac:dyDescent="0.25">
      <c r="A488" s="286"/>
      <c r="B488" s="308"/>
      <c r="C488" s="309" t="s">
        <v>76</v>
      </c>
      <c r="D488" s="308"/>
      <c r="E488" s="310" t="s">
        <v>77</v>
      </c>
      <c r="F488" s="505">
        <f t="shared" si="79"/>
        <v>62036.7</v>
      </c>
      <c r="G488" s="505">
        <f t="shared" si="79"/>
        <v>0</v>
      </c>
      <c r="H488" s="505">
        <f t="shared" si="79"/>
        <v>62036.7</v>
      </c>
      <c r="I488" s="311">
        <f t="shared" si="79"/>
        <v>72008.099999999991</v>
      </c>
      <c r="J488" s="311">
        <f t="shared" si="79"/>
        <v>0</v>
      </c>
      <c r="K488" s="311">
        <f t="shared" si="79"/>
        <v>72008.099999999991</v>
      </c>
      <c r="L488" s="311">
        <f t="shared" si="79"/>
        <v>10359.5</v>
      </c>
      <c r="M488" s="311">
        <f t="shared" si="79"/>
        <v>0</v>
      </c>
      <c r="N488" s="311">
        <f t="shared" si="79"/>
        <v>10359.5</v>
      </c>
    </row>
    <row r="489" spans="1:14" ht="41.25" customHeight="1" x14ac:dyDescent="0.25">
      <c r="A489" s="244"/>
      <c r="B489" s="244"/>
      <c r="C489" s="34" t="s">
        <v>1008</v>
      </c>
      <c r="D489" s="245"/>
      <c r="E489" s="360" t="s">
        <v>1010</v>
      </c>
      <c r="F489" s="494">
        <f t="shared" ref="F489:K489" si="80">F490</f>
        <v>62036.7</v>
      </c>
      <c r="G489" s="494">
        <f t="shared" si="80"/>
        <v>0</v>
      </c>
      <c r="H489" s="494">
        <f t="shared" si="80"/>
        <v>62036.7</v>
      </c>
      <c r="I489" s="247">
        <f t="shared" si="80"/>
        <v>72008.099999999991</v>
      </c>
      <c r="J489" s="247">
        <f t="shared" si="80"/>
        <v>0</v>
      </c>
      <c r="K489" s="247">
        <f t="shared" si="80"/>
        <v>72008.099999999991</v>
      </c>
      <c r="L489" s="247">
        <f>L490</f>
        <v>10359.5</v>
      </c>
      <c r="M489" s="247">
        <f>M490</f>
        <v>0</v>
      </c>
      <c r="N489" s="247">
        <f>N490</f>
        <v>10359.5</v>
      </c>
    </row>
    <row r="490" spans="1:14" ht="30" customHeight="1" x14ac:dyDescent="0.25">
      <c r="A490" s="229"/>
      <c r="B490" s="7"/>
      <c r="C490" s="32" t="s">
        <v>1009</v>
      </c>
      <c r="D490" s="32"/>
      <c r="E490" s="362" t="s">
        <v>1019</v>
      </c>
      <c r="F490" s="476">
        <f>F491</f>
        <v>62036.7</v>
      </c>
      <c r="G490" s="476">
        <f>G491</f>
        <v>0</v>
      </c>
      <c r="H490" s="476">
        <f>H491</f>
        <v>62036.7</v>
      </c>
      <c r="I490" s="38">
        <f t="shared" ref="I490:N490" si="81">I491</f>
        <v>72008.099999999991</v>
      </c>
      <c r="J490" s="38">
        <f t="shared" si="81"/>
        <v>0</v>
      </c>
      <c r="K490" s="38">
        <f t="shared" si="81"/>
        <v>72008.099999999991</v>
      </c>
      <c r="L490" s="38">
        <f t="shared" si="81"/>
        <v>10359.5</v>
      </c>
      <c r="M490" s="38">
        <f t="shared" si="81"/>
        <v>0</v>
      </c>
      <c r="N490" s="38">
        <f t="shared" si="81"/>
        <v>10359.5</v>
      </c>
    </row>
    <row r="491" spans="1:14" ht="26.25" x14ac:dyDescent="0.25">
      <c r="A491" s="229"/>
      <c r="B491" s="7"/>
      <c r="C491" s="14"/>
      <c r="D491" s="32" t="s">
        <v>186</v>
      </c>
      <c r="E491" s="26" t="s">
        <v>187</v>
      </c>
      <c r="F491" s="472">
        <f t="shared" ref="F491:H491" si="82">F492+F494</f>
        <v>62036.7</v>
      </c>
      <c r="G491" s="473">
        <f t="shared" si="82"/>
        <v>0</v>
      </c>
      <c r="H491" s="472">
        <f t="shared" si="82"/>
        <v>62036.7</v>
      </c>
      <c r="I491" s="29">
        <f>I492+I494+I493</f>
        <v>72008.099999999991</v>
      </c>
      <c r="J491" s="29">
        <f>J492+J494+J493</f>
        <v>0</v>
      </c>
      <c r="K491" s="29">
        <f>K492+K494+K493</f>
        <v>72008.099999999991</v>
      </c>
      <c r="L491" s="29">
        <f>SUM(L492:L493)</f>
        <v>10359.5</v>
      </c>
      <c r="M491" s="29">
        <f>M492+M493</f>
        <v>0</v>
      </c>
      <c r="N491" s="29">
        <f>SUM(N492:N493)</f>
        <v>10359.5</v>
      </c>
    </row>
    <row r="492" spans="1:14" x14ac:dyDescent="0.25">
      <c r="A492" s="229"/>
      <c r="B492" s="7"/>
      <c r="C492" s="14"/>
      <c r="D492" s="32"/>
      <c r="E492" s="26" t="s">
        <v>1150</v>
      </c>
      <c r="F492" s="469">
        <v>57131.1</v>
      </c>
      <c r="G492" s="470">
        <v>-0.04</v>
      </c>
      <c r="H492" s="469">
        <f>SUM(F492:G492)</f>
        <v>57131.06</v>
      </c>
      <c r="I492" s="160">
        <v>50000</v>
      </c>
      <c r="J492" s="160"/>
      <c r="K492" s="160">
        <f>SUM(I492:J492)</f>
        <v>50000</v>
      </c>
      <c r="L492" s="160">
        <v>0</v>
      </c>
      <c r="M492" s="160"/>
      <c r="N492" s="160">
        <f>SUM(L492:M492)</f>
        <v>0</v>
      </c>
    </row>
    <row r="493" spans="1:14" x14ac:dyDescent="0.25">
      <c r="A493" s="229"/>
      <c r="B493" s="7"/>
      <c r="C493" s="14"/>
      <c r="D493" s="32"/>
      <c r="E493" s="26" t="s">
        <v>1151</v>
      </c>
      <c r="F493" s="469"/>
      <c r="G493" s="470"/>
      <c r="H493" s="469"/>
      <c r="I493" s="160">
        <v>8338.9</v>
      </c>
      <c r="J493" s="160"/>
      <c r="K493" s="160">
        <v>8338.9</v>
      </c>
      <c r="L493" s="160">
        <v>10359.5</v>
      </c>
      <c r="M493" s="160"/>
      <c r="N493" s="160">
        <v>10359.5</v>
      </c>
    </row>
    <row r="494" spans="1:14" x14ac:dyDescent="0.25">
      <c r="A494" s="229"/>
      <c r="B494" s="7"/>
      <c r="C494" s="14"/>
      <c r="D494" s="32"/>
      <c r="E494" s="26" t="s">
        <v>192</v>
      </c>
      <c r="F494" s="469">
        <v>4905.6000000000004</v>
      </c>
      <c r="G494" s="470">
        <v>0.04</v>
      </c>
      <c r="H494" s="469">
        <f>SUM(F494:G494)</f>
        <v>4905.6400000000003</v>
      </c>
      <c r="I494" s="160">
        <v>13669.2</v>
      </c>
      <c r="J494" s="160"/>
      <c r="K494" s="160">
        <f>SUM(I494:J494)</f>
        <v>13669.2</v>
      </c>
      <c r="L494" s="160">
        <v>0</v>
      </c>
      <c r="M494" s="160"/>
      <c r="N494" s="160">
        <v>0</v>
      </c>
    </row>
    <row r="495" spans="1:14" s="258" customFormat="1" x14ac:dyDescent="0.25">
      <c r="A495" s="229"/>
      <c r="B495" s="7"/>
      <c r="C495" s="33" t="s">
        <v>373</v>
      </c>
      <c r="D495" s="33"/>
      <c r="E495" s="424" t="s">
        <v>374</v>
      </c>
      <c r="F495" s="466">
        <f>F496</f>
        <v>2038.4</v>
      </c>
      <c r="G495" s="602">
        <f>G496</f>
        <v>266.8</v>
      </c>
      <c r="H495" s="466">
        <f>H496</f>
        <v>2305.2000000000003</v>
      </c>
      <c r="I495" s="147"/>
      <c r="J495" s="147"/>
      <c r="K495" s="147">
        <v>0</v>
      </c>
      <c r="L495" s="147"/>
      <c r="M495" s="147"/>
      <c r="N495" s="147">
        <v>0</v>
      </c>
    </row>
    <row r="496" spans="1:14" s="258" customFormat="1" ht="39" x14ac:dyDescent="0.25">
      <c r="A496" s="229"/>
      <c r="B496" s="7"/>
      <c r="C496" s="33" t="s">
        <v>383</v>
      </c>
      <c r="D496" s="33"/>
      <c r="E496" s="424" t="s">
        <v>384</v>
      </c>
      <c r="F496" s="466">
        <f>F497+F499+F501</f>
        <v>2038.4</v>
      </c>
      <c r="G496" s="466">
        <f>G497+G499+G501+G503</f>
        <v>266.8</v>
      </c>
      <c r="H496" s="466">
        <f>H497+H499+H501+H503</f>
        <v>2305.2000000000003</v>
      </c>
      <c r="I496" s="147"/>
      <c r="J496" s="147"/>
      <c r="K496" s="147">
        <v>0</v>
      </c>
      <c r="L496" s="147"/>
      <c r="M496" s="147"/>
      <c r="N496" s="147">
        <v>0</v>
      </c>
    </row>
    <row r="497" spans="1:14" ht="51" x14ac:dyDescent="0.25">
      <c r="A497" s="229"/>
      <c r="B497" s="7"/>
      <c r="C497" s="14" t="s">
        <v>1068</v>
      </c>
      <c r="D497" s="27"/>
      <c r="E497" s="28" t="s">
        <v>1069</v>
      </c>
      <c r="F497" s="469">
        <v>271</v>
      </c>
      <c r="G497" s="469"/>
      <c r="H497" s="469">
        <v>271</v>
      </c>
      <c r="I497" s="160"/>
      <c r="J497" s="160"/>
      <c r="K497" s="160">
        <v>0</v>
      </c>
      <c r="L497" s="160"/>
      <c r="M497" s="160"/>
      <c r="N497" s="160">
        <v>0</v>
      </c>
    </row>
    <row r="498" spans="1:14" ht="25.5" x14ac:dyDescent="0.25">
      <c r="A498" s="229"/>
      <c r="B498" s="7"/>
      <c r="C498" s="7"/>
      <c r="D498" s="27" t="s">
        <v>17</v>
      </c>
      <c r="E498" s="28" t="s">
        <v>18</v>
      </c>
      <c r="F498" s="469">
        <v>271</v>
      </c>
      <c r="G498" s="469"/>
      <c r="H498" s="469">
        <v>271</v>
      </c>
      <c r="I498" s="160"/>
      <c r="J498" s="160"/>
      <c r="K498" s="160">
        <v>0</v>
      </c>
      <c r="L498" s="160"/>
      <c r="M498" s="160"/>
      <c r="N498" s="160">
        <v>0</v>
      </c>
    </row>
    <row r="499" spans="1:14" ht="51" x14ac:dyDescent="0.25">
      <c r="A499" s="229"/>
      <c r="B499" s="7"/>
      <c r="C499" s="193" t="s">
        <v>1070</v>
      </c>
      <c r="D499" s="192"/>
      <c r="E499" s="188" t="s">
        <v>1071</v>
      </c>
      <c r="F499" s="469">
        <f>F500</f>
        <v>1177.4000000000001</v>
      </c>
      <c r="G499" s="470">
        <f>G500</f>
        <v>-27</v>
      </c>
      <c r="H499" s="469">
        <f>H500</f>
        <v>1150.4000000000001</v>
      </c>
      <c r="I499" s="160"/>
      <c r="J499" s="160"/>
      <c r="K499" s="160">
        <v>0</v>
      </c>
      <c r="L499" s="160"/>
      <c r="M499" s="160"/>
      <c r="N499" s="160">
        <v>0</v>
      </c>
    </row>
    <row r="500" spans="1:14" ht="25.5" x14ac:dyDescent="0.25">
      <c r="A500" s="229"/>
      <c r="B500" s="7"/>
      <c r="C500" s="7"/>
      <c r="D500" s="27" t="s">
        <v>17</v>
      </c>
      <c r="E500" s="28" t="s">
        <v>18</v>
      </c>
      <c r="F500" s="469">
        <v>1177.4000000000001</v>
      </c>
      <c r="G500" s="470">
        <v>-27</v>
      </c>
      <c r="H500" s="469">
        <f>SUM(F500:G500)</f>
        <v>1150.4000000000001</v>
      </c>
      <c r="I500" s="160"/>
      <c r="J500" s="160"/>
      <c r="K500" s="160">
        <v>0</v>
      </c>
      <c r="L500" s="160"/>
      <c r="M500" s="160"/>
      <c r="N500" s="160">
        <v>0</v>
      </c>
    </row>
    <row r="501" spans="1:14" ht="38.25" x14ac:dyDescent="0.25">
      <c r="A501" s="229"/>
      <c r="B501" s="7"/>
      <c r="C501" s="193" t="s">
        <v>1172</v>
      </c>
      <c r="D501" s="192"/>
      <c r="E501" s="188" t="s">
        <v>1176</v>
      </c>
      <c r="F501" s="469">
        <f>F502</f>
        <v>590</v>
      </c>
      <c r="G501" s="469"/>
      <c r="H501" s="469">
        <f>H502</f>
        <v>590</v>
      </c>
      <c r="I501" s="160"/>
      <c r="J501" s="160"/>
      <c r="K501" s="160">
        <v>0</v>
      </c>
      <c r="L501" s="160"/>
      <c r="M501" s="160"/>
      <c r="N501" s="160">
        <v>0</v>
      </c>
    </row>
    <row r="502" spans="1:14" ht="25.5" x14ac:dyDescent="0.25">
      <c r="A502" s="229"/>
      <c r="B502" s="7"/>
      <c r="C502" s="7"/>
      <c r="D502" s="27" t="s">
        <v>17</v>
      </c>
      <c r="E502" s="28" t="s">
        <v>18</v>
      </c>
      <c r="F502" s="469">
        <v>590</v>
      </c>
      <c r="G502" s="469"/>
      <c r="H502" s="469">
        <v>590</v>
      </c>
      <c r="I502" s="160"/>
      <c r="J502" s="160"/>
      <c r="K502" s="160">
        <v>0</v>
      </c>
      <c r="L502" s="160"/>
      <c r="M502" s="160"/>
      <c r="N502" s="160">
        <v>0</v>
      </c>
    </row>
    <row r="503" spans="1:14" ht="38.25" x14ac:dyDescent="0.25">
      <c r="A503" s="229"/>
      <c r="B503" s="7"/>
      <c r="C503" s="193" t="s">
        <v>1296</v>
      </c>
      <c r="D503" s="192"/>
      <c r="E503" s="28" t="s">
        <v>1297</v>
      </c>
      <c r="F503" s="469"/>
      <c r="G503" s="469">
        <f>G504</f>
        <v>293.8</v>
      </c>
      <c r="H503" s="469">
        <f>H504</f>
        <v>293.8</v>
      </c>
      <c r="I503" s="160"/>
      <c r="J503" s="160"/>
      <c r="K503" s="160">
        <v>0</v>
      </c>
      <c r="L503" s="160"/>
      <c r="M503" s="160"/>
      <c r="N503" s="160">
        <v>0</v>
      </c>
    </row>
    <row r="504" spans="1:14" ht="25.5" x14ac:dyDescent="0.25">
      <c r="A504" s="229"/>
      <c r="B504" s="7"/>
      <c r="C504" s="7"/>
      <c r="D504" s="27" t="s">
        <v>17</v>
      </c>
      <c r="E504" s="28" t="s">
        <v>18</v>
      </c>
      <c r="F504" s="469"/>
      <c r="G504" s="469">
        <v>293.8</v>
      </c>
      <c r="H504" s="469">
        <v>293.8</v>
      </c>
      <c r="I504" s="160"/>
      <c r="J504" s="160"/>
      <c r="K504" s="160">
        <v>0</v>
      </c>
      <c r="L504" s="160"/>
      <c r="M504" s="160"/>
      <c r="N504" s="160">
        <v>0</v>
      </c>
    </row>
    <row r="505" spans="1:14" x14ac:dyDescent="0.25">
      <c r="A505" s="229"/>
      <c r="B505" s="426" t="s">
        <v>1158</v>
      </c>
      <c r="C505" s="426"/>
      <c r="D505" s="426"/>
      <c r="E505" s="437" t="s">
        <v>1159</v>
      </c>
      <c r="F505" s="466">
        <f t="shared" ref="F505:H511" si="83">F506</f>
        <v>2055.1</v>
      </c>
      <c r="G505" s="466">
        <f t="shared" si="83"/>
        <v>0</v>
      </c>
      <c r="H505" s="466">
        <f t="shared" si="83"/>
        <v>2055.1</v>
      </c>
      <c r="I505" s="147"/>
      <c r="J505" s="147"/>
      <c r="K505" s="147">
        <v>0</v>
      </c>
      <c r="L505" s="147"/>
      <c r="M505" s="147"/>
      <c r="N505" s="147">
        <v>0</v>
      </c>
    </row>
    <row r="506" spans="1:14" x14ac:dyDescent="0.25">
      <c r="A506" s="229"/>
      <c r="B506" s="426" t="s">
        <v>1161</v>
      </c>
      <c r="C506" s="426"/>
      <c r="D506" s="426"/>
      <c r="E506" s="438" t="s">
        <v>1162</v>
      </c>
      <c r="F506" s="466">
        <f t="shared" si="83"/>
        <v>2055.1</v>
      </c>
      <c r="G506" s="466">
        <f t="shared" si="83"/>
        <v>0</v>
      </c>
      <c r="H506" s="466">
        <f t="shared" si="83"/>
        <v>2055.1</v>
      </c>
      <c r="I506" s="147"/>
      <c r="J506" s="147"/>
      <c r="K506" s="147">
        <v>0</v>
      </c>
      <c r="L506" s="147"/>
      <c r="M506" s="147"/>
      <c r="N506" s="147">
        <v>0</v>
      </c>
    </row>
    <row r="507" spans="1:14" x14ac:dyDescent="0.25">
      <c r="A507" s="229"/>
      <c r="B507" s="426"/>
      <c r="C507" s="439" t="s">
        <v>825</v>
      </c>
      <c r="D507" s="439"/>
      <c r="E507" s="440" t="s">
        <v>1160</v>
      </c>
      <c r="F507" s="466">
        <f t="shared" si="83"/>
        <v>2055.1</v>
      </c>
      <c r="G507" s="466">
        <f t="shared" si="83"/>
        <v>0</v>
      </c>
      <c r="H507" s="466">
        <f t="shared" si="83"/>
        <v>2055.1</v>
      </c>
      <c r="I507" s="147"/>
      <c r="J507" s="147"/>
      <c r="K507" s="147">
        <v>0</v>
      </c>
      <c r="L507" s="147"/>
      <c r="M507" s="147"/>
      <c r="N507" s="147">
        <v>0</v>
      </c>
    </row>
    <row r="508" spans="1:14" ht="38.25" x14ac:dyDescent="0.25">
      <c r="A508" s="229"/>
      <c r="B508" s="426"/>
      <c r="C508" s="426" t="s">
        <v>383</v>
      </c>
      <c r="D508" s="426"/>
      <c r="E508" s="437" t="s">
        <v>879</v>
      </c>
      <c r="F508" s="466">
        <f>F509+F511</f>
        <v>2055.1</v>
      </c>
      <c r="G508" s="466">
        <f>G509+G511</f>
        <v>0</v>
      </c>
      <c r="H508" s="466">
        <f>H509+H511</f>
        <v>2055.1</v>
      </c>
      <c r="I508" s="147"/>
      <c r="J508" s="147"/>
      <c r="K508" s="147">
        <v>0</v>
      </c>
      <c r="L508" s="147"/>
      <c r="M508" s="147"/>
      <c r="N508" s="147">
        <v>0</v>
      </c>
    </row>
    <row r="509" spans="1:14" ht="26.25" x14ac:dyDescent="0.25">
      <c r="A509" s="229"/>
      <c r="B509" s="46"/>
      <c r="C509" s="46" t="s">
        <v>1157</v>
      </c>
      <c r="D509" s="46"/>
      <c r="E509" s="159" t="s">
        <v>1156</v>
      </c>
      <c r="F509" s="469">
        <f t="shared" si="83"/>
        <v>2000</v>
      </c>
      <c r="G509" s="469">
        <f>G510</f>
        <v>0</v>
      </c>
      <c r="H509" s="469">
        <f t="shared" si="83"/>
        <v>2000</v>
      </c>
      <c r="I509" s="160"/>
      <c r="J509" s="160"/>
      <c r="K509" s="160">
        <v>0</v>
      </c>
      <c r="L509" s="160"/>
      <c r="M509" s="160"/>
      <c r="N509" s="160">
        <v>0</v>
      </c>
    </row>
    <row r="510" spans="1:14" ht="26.25" customHeight="1" x14ac:dyDescent="0.25">
      <c r="A510" s="229"/>
      <c r="B510" s="46"/>
      <c r="C510" s="46"/>
      <c r="D510" s="46" t="s">
        <v>17</v>
      </c>
      <c r="E510" s="47" t="s">
        <v>372</v>
      </c>
      <c r="F510" s="469">
        <v>2000</v>
      </c>
      <c r="G510" s="469"/>
      <c r="H510" s="469">
        <v>2000</v>
      </c>
      <c r="I510" s="160"/>
      <c r="J510" s="160"/>
      <c r="K510" s="160">
        <v>0</v>
      </c>
      <c r="L510" s="160"/>
      <c r="M510" s="160"/>
      <c r="N510" s="160">
        <v>0</v>
      </c>
    </row>
    <row r="511" spans="1:14" ht="26.25" x14ac:dyDescent="0.25">
      <c r="A511" s="229"/>
      <c r="B511" s="46"/>
      <c r="C511" s="46" t="s">
        <v>1174</v>
      </c>
      <c r="D511" s="46"/>
      <c r="E511" s="159" t="s">
        <v>1173</v>
      </c>
      <c r="F511" s="469">
        <v>55.1</v>
      </c>
      <c r="G511" s="469"/>
      <c r="H511" s="469">
        <f t="shared" si="83"/>
        <v>55.1</v>
      </c>
      <c r="I511" s="160"/>
      <c r="J511" s="160"/>
      <c r="K511" s="160">
        <v>0</v>
      </c>
      <c r="L511" s="160"/>
      <c r="M511" s="160"/>
      <c r="N511" s="160">
        <v>0</v>
      </c>
    </row>
    <row r="512" spans="1:14" x14ac:dyDescent="0.25">
      <c r="A512" s="229"/>
      <c r="B512" s="46"/>
      <c r="C512" s="46"/>
      <c r="D512" s="46" t="s">
        <v>17</v>
      </c>
      <c r="E512" s="47" t="s">
        <v>372</v>
      </c>
      <c r="F512" s="469">
        <v>55.1</v>
      </c>
      <c r="G512" s="469"/>
      <c r="H512" s="469">
        <v>55.1</v>
      </c>
      <c r="I512" s="160"/>
      <c r="J512" s="160"/>
      <c r="K512" s="160">
        <v>0</v>
      </c>
      <c r="L512" s="160"/>
      <c r="M512" s="160"/>
      <c r="N512" s="160">
        <v>0</v>
      </c>
    </row>
    <row r="513" spans="1:14" x14ac:dyDescent="0.25">
      <c r="A513" s="229"/>
      <c r="B513" s="7">
        <v>1000</v>
      </c>
      <c r="C513" s="230"/>
      <c r="D513" s="229"/>
      <c r="E513" s="231" t="s">
        <v>892</v>
      </c>
      <c r="F513" s="491">
        <f t="shared" ref="F513:N513" si="84">F514+F521+F553+F567</f>
        <v>40411.199999999997</v>
      </c>
      <c r="G513" s="491">
        <f t="shared" si="84"/>
        <v>-760.29399999999998</v>
      </c>
      <c r="H513" s="491">
        <f t="shared" si="84"/>
        <v>39650.905999999995</v>
      </c>
      <c r="I513" s="232">
        <f t="shared" si="84"/>
        <v>27519.4</v>
      </c>
      <c r="J513" s="232">
        <f t="shared" si="84"/>
        <v>0</v>
      </c>
      <c r="K513" s="232">
        <f t="shared" si="84"/>
        <v>27519.4</v>
      </c>
      <c r="L513" s="232">
        <f t="shared" si="84"/>
        <v>33725.1</v>
      </c>
      <c r="M513" s="232">
        <f t="shared" si="84"/>
        <v>0</v>
      </c>
      <c r="N513" s="232">
        <f t="shared" si="84"/>
        <v>33725.1</v>
      </c>
    </row>
    <row r="514" spans="1:14" x14ac:dyDescent="0.25">
      <c r="A514" s="229"/>
      <c r="B514" s="7" t="s">
        <v>893</v>
      </c>
      <c r="C514" s="230"/>
      <c r="D514" s="229"/>
      <c r="E514" s="233" t="s">
        <v>894</v>
      </c>
      <c r="F514" s="491">
        <f t="shared" ref="F514:N518" si="85">F515</f>
        <v>6046.4</v>
      </c>
      <c r="G514" s="491">
        <f t="shared" si="85"/>
        <v>8.8000000000000007</v>
      </c>
      <c r="H514" s="491">
        <f t="shared" si="85"/>
        <v>6055.2</v>
      </c>
      <c r="I514" s="232">
        <f t="shared" si="85"/>
        <v>6046.4</v>
      </c>
      <c r="J514" s="232"/>
      <c r="K514" s="232">
        <f t="shared" si="85"/>
        <v>6046.4</v>
      </c>
      <c r="L514" s="232">
        <f t="shared" si="85"/>
        <v>6046.4</v>
      </c>
      <c r="M514" s="232"/>
      <c r="N514" s="232">
        <f t="shared" si="85"/>
        <v>6046.4</v>
      </c>
    </row>
    <row r="515" spans="1:14" ht="25.5" x14ac:dyDescent="0.25">
      <c r="A515" s="229"/>
      <c r="B515" s="7"/>
      <c r="C515" s="230" t="s">
        <v>9</v>
      </c>
      <c r="D515" s="7"/>
      <c r="E515" s="233" t="s">
        <v>10</v>
      </c>
      <c r="F515" s="491">
        <f t="shared" si="85"/>
        <v>6046.4</v>
      </c>
      <c r="G515" s="491">
        <f t="shared" si="85"/>
        <v>8.8000000000000007</v>
      </c>
      <c r="H515" s="491">
        <f t="shared" si="85"/>
        <v>6055.2</v>
      </c>
      <c r="I515" s="232">
        <f t="shared" si="85"/>
        <v>6046.4</v>
      </c>
      <c r="J515" s="232"/>
      <c r="K515" s="232">
        <f t="shared" si="85"/>
        <v>6046.4</v>
      </c>
      <c r="L515" s="232">
        <f t="shared" si="85"/>
        <v>6046.4</v>
      </c>
      <c r="M515" s="232"/>
      <c r="N515" s="232">
        <f t="shared" si="85"/>
        <v>6046.4</v>
      </c>
    </row>
    <row r="516" spans="1:14" ht="25.5" x14ac:dyDescent="0.25">
      <c r="A516" s="234"/>
      <c r="B516" s="235"/>
      <c r="C516" s="236" t="s">
        <v>11</v>
      </c>
      <c r="D516" s="235"/>
      <c r="E516" s="237" t="s">
        <v>12</v>
      </c>
      <c r="F516" s="492">
        <f t="shared" si="85"/>
        <v>6046.4</v>
      </c>
      <c r="G516" s="492">
        <f t="shared" si="85"/>
        <v>8.8000000000000007</v>
      </c>
      <c r="H516" s="492">
        <f t="shared" si="85"/>
        <v>6055.2</v>
      </c>
      <c r="I516" s="238">
        <f t="shared" si="85"/>
        <v>6046.4</v>
      </c>
      <c r="J516" s="238"/>
      <c r="K516" s="238">
        <f t="shared" si="85"/>
        <v>6046.4</v>
      </c>
      <c r="L516" s="238">
        <f t="shared" si="85"/>
        <v>6046.4</v>
      </c>
      <c r="M516" s="238"/>
      <c r="N516" s="238">
        <f t="shared" si="85"/>
        <v>6046.4</v>
      </c>
    </row>
    <row r="517" spans="1:14" ht="25.5" x14ac:dyDescent="0.25">
      <c r="A517" s="239"/>
      <c r="B517" s="240"/>
      <c r="C517" s="241" t="s">
        <v>26</v>
      </c>
      <c r="D517" s="240"/>
      <c r="E517" s="242" t="s">
        <v>27</v>
      </c>
      <c r="F517" s="514">
        <f t="shared" si="85"/>
        <v>6046.4</v>
      </c>
      <c r="G517" s="514">
        <f t="shared" si="85"/>
        <v>8.8000000000000007</v>
      </c>
      <c r="H517" s="514">
        <f t="shared" si="85"/>
        <v>6055.2</v>
      </c>
      <c r="I517" s="243">
        <f t="shared" si="85"/>
        <v>6046.4</v>
      </c>
      <c r="J517" s="243"/>
      <c r="K517" s="243">
        <f t="shared" si="85"/>
        <v>6046.4</v>
      </c>
      <c r="L517" s="243">
        <f t="shared" si="85"/>
        <v>6046.4</v>
      </c>
      <c r="M517" s="243"/>
      <c r="N517" s="243">
        <f t="shared" si="85"/>
        <v>6046.4</v>
      </c>
    </row>
    <row r="518" spans="1:14" ht="63.75" x14ac:dyDescent="0.25">
      <c r="A518" s="244"/>
      <c r="B518" s="34"/>
      <c r="C518" s="245" t="s">
        <v>28</v>
      </c>
      <c r="D518" s="34"/>
      <c r="E518" s="253" t="s">
        <v>895</v>
      </c>
      <c r="F518" s="494">
        <f t="shared" si="85"/>
        <v>6046.4</v>
      </c>
      <c r="G518" s="494">
        <f t="shared" si="85"/>
        <v>8.8000000000000007</v>
      </c>
      <c r="H518" s="494">
        <f t="shared" si="85"/>
        <v>6055.2</v>
      </c>
      <c r="I518" s="247">
        <f t="shared" si="85"/>
        <v>6046.4</v>
      </c>
      <c r="J518" s="247"/>
      <c r="K518" s="247">
        <f t="shared" si="85"/>
        <v>6046.4</v>
      </c>
      <c r="L518" s="247">
        <f t="shared" si="85"/>
        <v>6046.4</v>
      </c>
      <c r="M518" s="247"/>
      <c r="N518" s="247">
        <f t="shared" si="85"/>
        <v>6046.4</v>
      </c>
    </row>
    <row r="519" spans="1:14" ht="25.5" x14ac:dyDescent="0.25">
      <c r="A519" s="225"/>
      <c r="B519" s="27"/>
      <c r="C519" s="248" t="s">
        <v>35</v>
      </c>
      <c r="D519" s="27"/>
      <c r="E519" s="30" t="s">
        <v>36</v>
      </c>
      <c r="F519" s="472">
        <f>+F520</f>
        <v>6046.4</v>
      </c>
      <c r="G519" s="472">
        <f>+G520</f>
        <v>8.8000000000000007</v>
      </c>
      <c r="H519" s="472">
        <f>+H520</f>
        <v>6055.2</v>
      </c>
      <c r="I519" s="29">
        <f>+I520</f>
        <v>6046.4</v>
      </c>
      <c r="J519" s="29"/>
      <c r="K519" s="29">
        <f>+K520</f>
        <v>6046.4</v>
      </c>
      <c r="L519" s="29">
        <f>+L520</f>
        <v>6046.4</v>
      </c>
      <c r="M519" s="29"/>
      <c r="N519" s="29">
        <f>+N520</f>
        <v>6046.4</v>
      </c>
    </row>
    <row r="520" spans="1:14" x14ac:dyDescent="0.25">
      <c r="A520" s="225"/>
      <c r="B520" s="27"/>
      <c r="C520" s="248"/>
      <c r="D520" s="27" t="s">
        <v>37</v>
      </c>
      <c r="E520" s="28" t="s">
        <v>38</v>
      </c>
      <c r="F520" s="476">
        <f>'Приложение 2'!$L$34</f>
        <v>6046.4</v>
      </c>
      <c r="G520" s="476">
        <v>8.8000000000000007</v>
      </c>
      <c r="H520" s="476">
        <f>SUM(F520:G520)</f>
        <v>6055.2</v>
      </c>
      <c r="I520" s="38">
        <f>'Приложение 2'!$L$34</f>
        <v>6046.4</v>
      </c>
      <c r="J520" s="38"/>
      <c r="K520" s="38">
        <f>'Приложение 2'!$L$34</f>
        <v>6046.4</v>
      </c>
      <c r="L520" s="38">
        <f>'Приложение 2'!$L$34</f>
        <v>6046.4</v>
      </c>
      <c r="M520" s="38"/>
      <c r="N520" s="38">
        <f>'Приложение 2'!$L$34</f>
        <v>6046.4</v>
      </c>
    </row>
    <row r="521" spans="1:14" x14ac:dyDescent="0.25">
      <c r="A521" s="229"/>
      <c r="B521" s="7" t="s">
        <v>993</v>
      </c>
      <c r="C521" s="230"/>
      <c r="D521" s="229"/>
      <c r="E521" s="231" t="s">
        <v>896</v>
      </c>
      <c r="F521" s="491">
        <f t="shared" ref="F521:L521" si="86">F522</f>
        <v>3461.6</v>
      </c>
      <c r="G521" s="491">
        <f t="shared" si="86"/>
        <v>-401.44</v>
      </c>
      <c r="H521" s="491">
        <f t="shared" si="86"/>
        <v>3060.16</v>
      </c>
      <c r="I521" s="232">
        <f t="shared" si="86"/>
        <v>0</v>
      </c>
      <c r="J521" s="232">
        <f t="shared" si="86"/>
        <v>0</v>
      </c>
      <c r="K521" s="232">
        <f t="shared" si="86"/>
        <v>0</v>
      </c>
      <c r="L521" s="232">
        <f t="shared" si="86"/>
        <v>6117.2</v>
      </c>
      <c r="M521" s="232"/>
      <c r="N521" s="232">
        <f>N522</f>
        <v>6117.2</v>
      </c>
    </row>
    <row r="522" spans="1:14" ht="25.5" x14ac:dyDescent="0.25">
      <c r="A522" s="229"/>
      <c r="B522" s="7"/>
      <c r="C522" s="230" t="s">
        <v>9</v>
      </c>
      <c r="D522" s="7"/>
      <c r="E522" s="30" t="s">
        <v>10</v>
      </c>
      <c r="F522" s="502">
        <f>F523+F537+F532</f>
        <v>3461.6</v>
      </c>
      <c r="G522" s="502">
        <f t="shared" ref="G522:M522" si="87">G523+G537+G532</f>
        <v>-401.44</v>
      </c>
      <c r="H522" s="502">
        <f t="shared" si="87"/>
        <v>3060.16</v>
      </c>
      <c r="I522" s="297">
        <f t="shared" si="87"/>
        <v>0</v>
      </c>
      <c r="J522" s="297">
        <f t="shared" si="87"/>
        <v>0</v>
      </c>
      <c r="K522" s="297">
        <f t="shared" si="87"/>
        <v>0</v>
      </c>
      <c r="L522" s="297">
        <f>L523+L537+L532+L547</f>
        <v>6117.2</v>
      </c>
      <c r="M522" s="297">
        <f t="shared" si="87"/>
        <v>0</v>
      </c>
      <c r="N522" s="297">
        <f>N523+N537+N532+N547</f>
        <v>6117.2</v>
      </c>
    </row>
    <row r="523" spans="1:14" ht="25.5" x14ac:dyDescent="0.25">
      <c r="A523" s="234"/>
      <c r="B523" s="235"/>
      <c r="C523" s="236" t="s">
        <v>166</v>
      </c>
      <c r="D523" s="235"/>
      <c r="E523" s="237" t="s">
        <v>897</v>
      </c>
      <c r="F523" s="492">
        <f>F524+F527</f>
        <v>825.9</v>
      </c>
      <c r="G523" s="492">
        <f t="shared" ref="G523:N523" si="88">G524+G527</f>
        <v>3.0000000000000001E-3</v>
      </c>
      <c r="H523" s="492">
        <f t="shared" si="88"/>
        <v>825.90300000000002</v>
      </c>
      <c r="I523" s="238">
        <f t="shared" si="88"/>
        <v>0</v>
      </c>
      <c r="J523" s="238">
        <f t="shared" si="88"/>
        <v>0</v>
      </c>
      <c r="K523" s="238">
        <f t="shared" si="88"/>
        <v>0</v>
      </c>
      <c r="L523" s="238">
        <f t="shared" si="88"/>
        <v>0</v>
      </c>
      <c r="M523" s="238">
        <f t="shared" si="88"/>
        <v>0</v>
      </c>
      <c r="N523" s="238">
        <f t="shared" si="88"/>
        <v>0</v>
      </c>
    </row>
    <row r="524" spans="1:14" ht="26.25" customHeight="1" x14ac:dyDescent="0.25">
      <c r="A524" s="244"/>
      <c r="B524" s="34"/>
      <c r="C524" s="245" t="s">
        <v>899</v>
      </c>
      <c r="D524" s="34"/>
      <c r="E524" s="246" t="s">
        <v>175</v>
      </c>
      <c r="F524" s="495">
        <f t="shared" ref="F524:N525" si="89">F525</f>
        <v>0</v>
      </c>
      <c r="G524" s="495"/>
      <c r="H524" s="495">
        <f t="shared" si="89"/>
        <v>0</v>
      </c>
      <c r="I524" s="250">
        <f t="shared" si="89"/>
        <v>0</v>
      </c>
      <c r="J524" s="250"/>
      <c r="K524" s="250">
        <f t="shared" si="89"/>
        <v>0</v>
      </c>
      <c r="L524" s="250">
        <f t="shared" si="89"/>
        <v>0</v>
      </c>
      <c r="M524" s="250"/>
      <c r="N524" s="250">
        <f t="shared" si="89"/>
        <v>0</v>
      </c>
    </row>
    <row r="525" spans="1:14" ht="41.25" customHeight="1" x14ac:dyDescent="0.25">
      <c r="A525" s="225"/>
      <c r="B525" s="27"/>
      <c r="C525" s="248" t="s">
        <v>176</v>
      </c>
      <c r="D525" s="27"/>
      <c r="E525" s="28" t="s">
        <v>177</v>
      </c>
      <c r="F525" s="472">
        <f t="shared" si="89"/>
        <v>0</v>
      </c>
      <c r="G525" s="472"/>
      <c r="H525" s="472">
        <f t="shared" si="89"/>
        <v>0</v>
      </c>
      <c r="I525" s="29">
        <f t="shared" si="89"/>
        <v>0</v>
      </c>
      <c r="J525" s="29"/>
      <c r="K525" s="29">
        <f t="shared" si="89"/>
        <v>0</v>
      </c>
      <c r="L525" s="29">
        <f t="shared" si="89"/>
        <v>0</v>
      </c>
      <c r="M525" s="29"/>
      <c r="N525" s="29">
        <f t="shared" si="89"/>
        <v>0</v>
      </c>
    </row>
    <row r="526" spans="1:14" x14ac:dyDescent="0.25">
      <c r="A526" s="225"/>
      <c r="B526" s="27"/>
      <c r="C526" s="230"/>
      <c r="D526" s="27" t="s">
        <v>37</v>
      </c>
      <c r="E526" s="28" t="s">
        <v>38</v>
      </c>
      <c r="F526" s="472">
        <v>0</v>
      </c>
      <c r="G526" s="472"/>
      <c r="H526" s="472">
        <v>0</v>
      </c>
      <c r="I526" s="29">
        <v>0</v>
      </c>
      <c r="J526" s="29"/>
      <c r="K526" s="29">
        <v>0</v>
      </c>
      <c r="L526" s="29">
        <v>0</v>
      </c>
      <c r="M526" s="29"/>
      <c r="N526" s="29">
        <v>0</v>
      </c>
    </row>
    <row r="527" spans="1:14" ht="26.25" x14ac:dyDescent="0.25">
      <c r="A527" s="244"/>
      <c r="B527" s="34"/>
      <c r="C527" s="302" t="s">
        <v>725</v>
      </c>
      <c r="D527" s="303"/>
      <c r="E527" s="272" t="s">
        <v>726</v>
      </c>
      <c r="F527" s="494">
        <f t="shared" ref="F527:N528" si="90">F528</f>
        <v>825.9</v>
      </c>
      <c r="G527" s="494">
        <f t="shared" si="90"/>
        <v>3.0000000000000001E-3</v>
      </c>
      <c r="H527" s="494">
        <f t="shared" si="90"/>
        <v>825.90300000000002</v>
      </c>
      <c r="I527" s="247">
        <f t="shared" si="90"/>
        <v>0</v>
      </c>
      <c r="J527" s="247">
        <f t="shared" si="90"/>
        <v>0</v>
      </c>
      <c r="K527" s="247">
        <f t="shared" si="90"/>
        <v>0</v>
      </c>
      <c r="L527" s="247">
        <f t="shared" si="90"/>
        <v>0</v>
      </c>
      <c r="M527" s="247"/>
      <c r="N527" s="247">
        <f t="shared" si="90"/>
        <v>0</v>
      </c>
    </row>
    <row r="528" spans="1:14" ht="39" x14ac:dyDescent="0.25">
      <c r="A528" s="225"/>
      <c r="B528" s="27"/>
      <c r="C528" s="157" t="s">
        <v>999</v>
      </c>
      <c r="D528" s="32"/>
      <c r="E528" s="159" t="s">
        <v>1000</v>
      </c>
      <c r="F528" s="472">
        <f t="shared" si="90"/>
        <v>825.9</v>
      </c>
      <c r="G528" s="473">
        <f>G529</f>
        <v>3.0000000000000001E-3</v>
      </c>
      <c r="H528" s="472">
        <f t="shared" si="90"/>
        <v>825.90300000000002</v>
      </c>
      <c r="I528" s="29">
        <f t="shared" si="90"/>
        <v>0</v>
      </c>
      <c r="J528" s="29">
        <f t="shared" si="90"/>
        <v>0</v>
      </c>
      <c r="K528" s="29">
        <f t="shared" si="90"/>
        <v>0</v>
      </c>
      <c r="L528" s="29">
        <f t="shared" si="90"/>
        <v>0</v>
      </c>
      <c r="M528" s="29"/>
      <c r="N528" s="29">
        <f t="shared" si="90"/>
        <v>0</v>
      </c>
    </row>
    <row r="529" spans="1:14" x14ac:dyDescent="0.25">
      <c r="A529" s="225"/>
      <c r="B529" s="27"/>
      <c r="C529" s="259"/>
      <c r="D529" s="32" t="s">
        <v>37</v>
      </c>
      <c r="E529" s="26" t="s">
        <v>38</v>
      </c>
      <c r="F529" s="472">
        <f>F530+F531</f>
        <v>825.9</v>
      </c>
      <c r="G529" s="470">
        <f t="shared" ref="G529" si="91">SUM(G530:G531)</f>
        <v>3.0000000000000001E-3</v>
      </c>
      <c r="H529" s="472">
        <f>H530+H531</f>
        <v>825.90300000000002</v>
      </c>
      <c r="I529" s="160">
        <f>SUM(I530:I531)</f>
        <v>0</v>
      </c>
      <c r="J529" s="160">
        <f>SUM(J530:J531)</f>
        <v>0</v>
      </c>
      <c r="K529" s="160">
        <f>SUM(K530:K531)</f>
        <v>0</v>
      </c>
      <c r="L529" s="29">
        <v>0</v>
      </c>
      <c r="M529" s="160"/>
      <c r="N529" s="29">
        <v>0</v>
      </c>
    </row>
    <row r="530" spans="1:14" x14ac:dyDescent="0.25">
      <c r="A530" s="225"/>
      <c r="B530" s="27"/>
      <c r="C530" s="259"/>
      <c r="D530" s="32"/>
      <c r="E530" s="159" t="s">
        <v>102</v>
      </c>
      <c r="F530" s="472">
        <v>784.6</v>
      </c>
      <c r="G530" s="470">
        <v>8.0000000000000002E-3</v>
      </c>
      <c r="H530" s="472">
        <f>SUM(F530:G530)</f>
        <v>784.60800000000006</v>
      </c>
      <c r="I530" s="160">
        <v>0</v>
      </c>
      <c r="J530" s="160"/>
      <c r="K530" s="160">
        <v>0</v>
      </c>
      <c r="L530" s="29"/>
      <c r="M530" s="160"/>
      <c r="N530" s="29">
        <v>0</v>
      </c>
    </row>
    <row r="531" spans="1:14" x14ac:dyDescent="0.25">
      <c r="A531" s="225"/>
      <c r="B531" s="27"/>
      <c r="C531" s="259"/>
      <c r="D531" s="32"/>
      <c r="E531" s="159" t="s">
        <v>146</v>
      </c>
      <c r="F531" s="472">
        <v>41.3</v>
      </c>
      <c r="G531" s="470">
        <v>-5.0000000000000001E-3</v>
      </c>
      <c r="H531" s="472">
        <f>SUM(F531:G531)</f>
        <v>41.294999999999995</v>
      </c>
      <c r="I531" s="160">
        <v>0</v>
      </c>
      <c r="J531" s="160"/>
      <c r="K531" s="160">
        <v>0</v>
      </c>
      <c r="L531" s="29"/>
      <c r="M531" s="160"/>
      <c r="N531" s="29">
        <v>0</v>
      </c>
    </row>
    <row r="532" spans="1:14" ht="25.5" x14ac:dyDescent="0.25">
      <c r="A532" s="234"/>
      <c r="B532" s="235"/>
      <c r="C532" s="236" t="s">
        <v>189</v>
      </c>
      <c r="D532" s="235"/>
      <c r="E532" s="305" t="s">
        <v>1109</v>
      </c>
      <c r="F532" s="492">
        <f t="shared" ref="F532:N534" si="92">F533</f>
        <v>673.9</v>
      </c>
      <c r="G532" s="492">
        <f t="shared" si="92"/>
        <v>-401.4</v>
      </c>
      <c r="H532" s="492">
        <f t="shared" si="92"/>
        <v>272.5</v>
      </c>
      <c r="I532" s="238">
        <f t="shared" si="92"/>
        <v>0</v>
      </c>
      <c r="J532" s="238"/>
      <c r="K532" s="238">
        <f t="shared" si="92"/>
        <v>0</v>
      </c>
      <c r="L532" s="238">
        <f t="shared" si="92"/>
        <v>0</v>
      </c>
      <c r="M532" s="238"/>
      <c r="N532" s="238">
        <f t="shared" si="92"/>
        <v>0</v>
      </c>
    </row>
    <row r="533" spans="1:14" x14ac:dyDescent="0.25">
      <c r="A533" s="286"/>
      <c r="B533" s="308"/>
      <c r="C533" s="309" t="s">
        <v>900</v>
      </c>
      <c r="D533" s="308"/>
      <c r="E533" s="324" t="s">
        <v>901</v>
      </c>
      <c r="F533" s="505">
        <f t="shared" si="92"/>
        <v>673.9</v>
      </c>
      <c r="G533" s="505">
        <f t="shared" si="92"/>
        <v>-401.4</v>
      </c>
      <c r="H533" s="505">
        <f t="shared" si="92"/>
        <v>272.5</v>
      </c>
      <c r="I533" s="311">
        <f t="shared" si="92"/>
        <v>0</v>
      </c>
      <c r="J533" s="311"/>
      <c r="K533" s="311">
        <f t="shared" si="92"/>
        <v>0</v>
      </c>
      <c r="L533" s="311">
        <f t="shared" si="92"/>
        <v>0</v>
      </c>
      <c r="M533" s="311"/>
      <c r="N533" s="311">
        <f t="shared" si="92"/>
        <v>0</v>
      </c>
    </row>
    <row r="534" spans="1:14" ht="25.5" x14ac:dyDescent="0.25">
      <c r="A534" s="244"/>
      <c r="B534" s="34"/>
      <c r="C534" s="245" t="s">
        <v>731</v>
      </c>
      <c r="D534" s="34"/>
      <c r="E534" s="253" t="s">
        <v>1059</v>
      </c>
      <c r="F534" s="494">
        <f t="shared" si="92"/>
        <v>673.9</v>
      </c>
      <c r="G534" s="494">
        <f t="shared" si="92"/>
        <v>-401.4</v>
      </c>
      <c r="H534" s="494">
        <f t="shared" si="92"/>
        <v>272.5</v>
      </c>
      <c r="I534" s="247">
        <f t="shared" si="92"/>
        <v>0</v>
      </c>
      <c r="J534" s="247"/>
      <c r="K534" s="247">
        <f t="shared" si="92"/>
        <v>0</v>
      </c>
      <c r="L534" s="247">
        <f t="shared" si="92"/>
        <v>0</v>
      </c>
      <c r="M534" s="247"/>
      <c r="N534" s="247">
        <f t="shared" si="92"/>
        <v>0</v>
      </c>
    </row>
    <row r="535" spans="1:14" ht="25.5" x14ac:dyDescent="0.25">
      <c r="A535" s="225"/>
      <c r="B535" s="27"/>
      <c r="C535" s="313" t="s">
        <v>734</v>
      </c>
      <c r="D535" s="27"/>
      <c r="E535" s="273" t="s">
        <v>902</v>
      </c>
      <c r="F535" s="472">
        <v>673.9</v>
      </c>
      <c r="G535" s="472">
        <f>G536</f>
        <v>-401.4</v>
      </c>
      <c r="H535" s="472">
        <f>H536</f>
        <v>272.5</v>
      </c>
      <c r="I535" s="29">
        <f>I536</f>
        <v>0</v>
      </c>
      <c r="J535" s="29"/>
      <c r="K535" s="29">
        <f>K536</f>
        <v>0</v>
      </c>
      <c r="L535" s="29">
        <f>L536</f>
        <v>0</v>
      </c>
      <c r="M535" s="29"/>
      <c r="N535" s="29">
        <f>N536</f>
        <v>0</v>
      </c>
    </row>
    <row r="536" spans="1:14" x14ac:dyDescent="0.25">
      <c r="A536" s="225"/>
      <c r="B536" s="27"/>
      <c r="C536" s="230"/>
      <c r="D536" s="27" t="s">
        <v>37</v>
      </c>
      <c r="E536" s="28" t="s">
        <v>38</v>
      </c>
      <c r="F536" s="472">
        <v>673.9</v>
      </c>
      <c r="G536" s="472">
        <f>-219.5-181.9</f>
        <v>-401.4</v>
      </c>
      <c r="H536" s="472">
        <f>SUM(F536:G536)</f>
        <v>272.5</v>
      </c>
      <c r="I536" s="29">
        <v>0</v>
      </c>
      <c r="J536" s="29"/>
      <c r="K536" s="29">
        <v>0</v>
      </c>
      <c r="L536" s="29">
        <v>0</v>
      </c>
      <c r="M536" s="29"/>
      <c r="N536" s="29">
        <v>0</v>
      </c>
    </row>
    <row r="537" spans="1:14" ht="35.25" customHeight="1" x14ac:dyDescent="0.25">
      <c r="A537" s="234"/>
      <c r="B537" s="235"/>
      <c r="C537" s="236" t="s">
        <v>260</v>
      </c>
      <c r="D537" s="235"/>
      <c r="E537" s="305" t="s">
        <v>261</v>
      </c>
      <c r="F537" s="492">
        <f t="shared" ref="F537:I538" si="93">F538</f>
        <v>1961.8</v>
      </c>
      <c r="G537" s="492">
        <f t="shared" si="93"/>
        <v>-4.2999999999999997E-2</v>
      </c>
      <c r="H537" s="492">
        <f t="shared" si="93"/>
        <v>1961.7570000000001</v>
      </c>
      <c r="I537" s="238">
        <f t="shared" si="93"/>
        <v>0</v>
      </c>
      <c r="J537" s="238"/>
      <c r="K537" s="238">
        <f>K538</f>
        <v>0</v>
      </c>
      <c r="L537" s="238">
        <f>L538</f>
        <v>0</v>
      </c>
      <c r="M537" s="238"/>
      <c r="N537" s="238">
        <f>N538</f>
        <v>0</v>
      </c>
    </row>
    <row r="538" spans="1:14" x14ac:dyDescent="0.25">
      <c r="A538" s="286"/>
      <c r="B538" s="308"/>
      <c r="C538" s="309" t="s">
        <v>262</v>
      </c>
      <c r="D538" s="308"/>
      <c r="E538" s="310" t="s">
        <v>263</v>
      </c>
      <c r="F538" s="505">
        <f t="shared" si="93"/>
        <v>1961.8</v>
      </c>
      <c r="G538" s="505">
        <f t="shared" si="93"/>
        <v>-4.2999999999999997E-2</v>
      </c>
      <c r="H538" s="505">
        <f t="shared" si="93"/>
        <v>1961.7570000000001</v>
      </c>
      <c r="I538" s="311">
        <f t="shared" si="93"/>
        <v>0</v>
      </c>
      <c r="J538" s="311"/>
      <c r="K538" s="311">
        <f>K539</f>
        <v>0</v>
      </c>
      <c r="L538" s="311">
        <f>L539</f>
        <v>0</v>
      </c>
      <c r="M538" s="311"/>
      <c r="N538" s="311">
        <f>N539</f>
        <v>0</v>
      </c>
    </row>
    <row r="539" spans="1:14" ht="38.25" x14ac:dyDescent="0.25">
      <c r="A539" s="244"/>
      <c r="B539" s="34"/>
      <c r="C539" s="245" t="s">
        <v>264</v>
      </c>
      <c r="D539" s="34"/>
      <c r="E539" s="253" t="s">
        <v>265</v>
      </c>
      <c r="F539" s="494">
        <f>F542</f>
        <v>1961.8</v>
      </c>
      <c r="G539" s="494">
        <f>G542</f>
        <v>-4.2999999999999997E-2</v>
      </c>
      <c r="H539" s="494">
        <f>H542</f>
        <v>1961.7570000000001</v>
      </c>
      <c r="I539" s="247">
        <f>I542</f>
        <v>0</v>
      </c>
      <c r="J539" s="247"/>
      <c r="K539" s="247">
        <f>K542</f>
        <v>0</v>
      </c>
      <c r="L539" s="247">
        <f>L542</f>
        <v>0</v>
      </c>
      <c r="M539" s="247"/>
      <c r="N539" s="247">
        <f>N542</f>
        <v>0</v>
      </c>
    </row>
    <row r="540" spans="1:14" s="372" customFormat="1" ht="26.25" x14ac:dyDescent="0.25">
      <c r="A540" s="225"/>
      <c r="B540" s="27"/>
      <c r="C540" s="248" t="s">
        <v>1055</v>
      </c>
      <c r="D540" s="27"/>
      <c r="E540" s="3" t="s">
        <v>1032</v>
      </c>
      <c r="F540" s="472">
        <f>F542</f>
        <v>1961.8</v>
      </c>
      <c r="G540" s="473">
        <f>G542</f>
        <v>-4.2999999999999997E-2</v>
      </c>
      <c r="H540" s="472">
        <f>H542</f>
        <v>1961.7570000000001</v>
      </c>
      <c r="I540" s="29">
        <f>I542</f>
        <v>0</v>
      </c>
      <c r="J540" s="29"/>
      <c r="K540" s="29">
        <f>K542</f>
        <v>0</v>
      </c>
      <c r="L540" s="29">
        <f>L542</f>
        <v>0</v>
      </c>
      <c r="M540" s="29"/>
      <c r="N540" s="29">
        <f>N542</f>
        <v>0</v>
      </c>
    </row>
    <row r="541" spans="1:14" s="372" customFormat="1" x14ac:dyDescent="0.25">
      <c r="A541" s="225"/>
      <c r="B541" s="27"/>
      <c r="C541" s="248"/>
      <c r="D541" s="27"/>
      <c r="E541" s="30" t="s">
        <v>1</v>
      </c>
      <c r="F541" s="472"/>
      <c r="G541" s="473"/>
      <c r="H541" s="472"/>
      <c r="I541" s="29"/>
      <c r="J541" s="29"/>
      <c r="K541" s="29"/>
      <c r="L541" s="29"/>
      <c r="M541" s="29"/>
      <c r="N541" s="29"/>
    </row>
    <row r="542" spans="1:14" ht="26.25" x14ac:dyDescent="0.25">
      <c r="A542" s="225"/>
      <c r="B542" s="27"/>
      <c r="C542" s="248"/>
      <c r="D542" s="7"/>
      <c r="E542" s="374" t="s">
        <v>1028</v>
      </c>
      <c r="F542" s="481">
        <f>F543</f>
        <v>1961.8</v>
      </c>
      <c r="G542" s="510">
        <f>G543</f>
        <v>-4.2999999999999997E-2</v>
      </c>
      <c r="H542" s="481">
        <f>H543</f>
        <v>1961.7570000000001</v>
      </c>
      <c r="I542" s="385">
        <f>I543</f>
        <v>0</v>
      </c>
      <c r="J542" s="385"/>
      <c r="K542" s="385">
        <f>K543</f>
        <v>0</v>
      </c>
      <c r="L542" s="385">
        <f>L543</f>
        <v>0</v>
      </c>
      <c r="M542" s="385"/>
      <c r="N542" s="385">
        <f>N543</f>
        <v>0</v>
      </c>
    </row>
    <row r="543" spans="1:14" x14ac:dyDescent="0.25">
      <c r="A543" s="225"/>
      <c r="B543" s="27"/>
      <c r="C543" s="230"/>
      <c r="D543" s="27" t="s">
        <v>37</v>
      </c>
      <c r="E543" s="28" t="s">
        <v>38</v>
      </c>
      <c r="F543" s="472">
        <f>F544+F545+F546</f>
        <v>1961.8</v>
      </c>
      <c r="G543" s="473">
        <f>G544+G545+G546</f>
        <v>-4.2999999999999997E-2</v>
      </c>
      <c r="H543" s="472">
        <f>H544+H545+H546</f>
        <v>1961.7570000000001</v>
      </c>
      <c r="I543" s="29">
        <f>I544+I545+I546</f>
        <v>0</v>
      </c>
      <c r="J543" s="29"/>
      <c r="K543" s="29">
        <f>K544+K545+K546</f>
        <v>0</v>
      </c>
      <c r="L543" s="29">
        <f>L544+L545+L546</f>
        <v>0</v>
      </c>
      <c r="M543" s="29"/>
      <c r="N543" s="29">
        <f>N544+N545+N546</f>
        <v>0</v>
      </c>
    </row>
    <row r="544" spans="1:14" x14ac:dyDescent="0.25">
      <c r="A544" s="225"/>
      <c r="B544" s="27"/>
      <c r="C544" s="248"/>
      <c r="D544" s="7"/>
      <c r="E544" s="30" t="s">
        <v>266</v>
      </c>
      <c r="F544" s="476">
        <v>1833.1</v>
      </c>
      <c r="G544" s="470">
        <v>1.7000000000000001E-2</v>
      </c>
      <c r="H544" s="476">
        <f t="shared" ref="H544:H545" si="94">SUM(F544:G544)</f>
        <v>1833.117</v>
      </c>
      <c r="I544" s="29">
        <v>0</v>
      </c>
      <c r="J544" s="29"/>
      <c r="K544" s="29">
        <v>0</v>
      </c>
      <c r="L544" s="29">
        <v>0</v>
      </c>
      <c r="M544" s="29"/>
      <c r="N544" s="29">
        <v>0</v>
      </c>
    </row>
    <row r="545" spans="1:14" x14ac:dyDescent="0.25">
      <c r="A545" s="225"/>
      <c r="B545" s="27"/>
      <c r="C545" s="248"/>
      <c r="D545" s="7"/>
      <c r="E545" s="30" t="s">
        <v>191</v>
      </c>
      <c r="F545" s="476">
        <v>96.5</v>
      </c>
      <c r="G545" s="470">
        <v>-0.02</v>
      </c>
      <c r="H545" s="476">
        <f t="shared" si="94"/>
        <v>96.48</v>
      </c>
      <c r="I545" s="29">
        <v>0</v>
      </c>
      <c r="J545" s="29"/>
      <c r="K545" s="29">
        <v>0</v>
      </c>
      <c r="L545" s="29">
        <v>0</v>
      </c>
      <c r="M545" s="29"/>
      <c r="N545" s="29">
        <v>0</v>
      </c>
    </row>
    <row r="546" spans="1:14" x14ac:dyDescent="0.25">
      <c r="A546" s="225"/>
      <c r="B546" s="27"/>
      <c r="C546" s="248"/>
      <c r="D546" s="7"/>
      <c r="E546" s="30" t="s">
        <v>267</v>
      </c>
      <c r="F546" s="476">
        <v>32.200000000000003</v>
      </c>
      <c r="G546" s="470">
        <v>-0.04</v>
      </c>
      <c r="H546" s="476">
        <f>SUM(F546:G546)</f>
        <v>32.160000000000004</v>
      </c>
      <c r="I546" s="29">
        <v>0</v>
      </c>
      <c r="J546" s="29"/>
      <c r="K546" s="29">
        <v>0</v>
      </c>
      <c r="L546" s="29">
        <v>0</v>
      </c>
      <c r="M546" s="29"/>
      <c r="N546" s="29">
        <v>0</v>
      </c>
    </row>
    <row r="547" spans="1:14" ht="38.25" x14ac:dyDescent="0.25">
      <c r="A547" s="234"/>
      <c r="B547" s="235"/>
      <c r="C547" s="236" t="s">
        <v>359</v>
      </c>
      <c r="D547" s="261"/>
      <c r="E547" s="237" t="s">
        <v>360</v>
      </c>
      <c r="F547" s="492">
        <f>F548</f>
        <v>0</v>
      </c>
      <c r="G547" s="492"/>
      <c r="H547" s="492">
        <f>H548</f>
        <v>0</v>
      </c>
      <c r="I547" s="238">
        <f>I548</f>
        <v>0</v>
      </c>
      <c r="J547" s="238"/>
      <c r="K547" s="238">
        <f>K548</f>
        <v>0</v>
      </c>
      <c r="L547" s="238">
        <f>L548</f>
        <v>6117.2</v>
      </c>
      <c r="M547" s="238"/>
      <c r="N547" s="238">
        <f>N548</f>
        <v>6117.2</v>
      </c>
    </row>
    <row r="548" spans="1:14" ht="38.25" x14ac:dyDescent="0.25">
      <c r="A548" s="266"/>
      <c r="B548" s="267"/>
      <c r="C548" s="268" t="s">
        <v>361</v>
      </c>
      <c r="D548" s="269"/>
      <c r="E548" s="306" t="s">
        <v>362</v>
      </c>
      <c r="F548" s="504">
        <v>0</v>
      </c>
      <c r="G548" s="504"/>
      <c r="H548" s="504">
        <v>0</v>
      </c>
      <c r="I548" s="271">
        <f t="shared" ref="I548:N551" si="95">I549</f>
        <v>0</v>
      </c>
      <c r="J548" s="271"/>
      <c r="K548" s="271">
        <f t="shared" si="95"/>
        <v>0</v>
      </c>
      <c r="L548" s="271">
        <f t="shared" si="95"/>
        <v>6117.2</v>
      </c>
      <c r="M548" s="271"/>
      <c r="N548" s="271">
        <f t="shared" si="95"/>
        <v>6117.2</v>
      </c>
    </row>
    <row r="549" spans="1:14" ht="39" x14ac:dyDescent="0.25">
      <c r="A549" s="254"/>
      <c r="B549" s="34"/>
      <c r="C549" s="245" t="s">
        <v>433</v>
      </c>
      <c r="D549" s="255"/>
      <c r="E549" s="272" t="s">
        <v>364</v>
      </c>
      <c r="F549" s="494">
        <v>0</v>
      </c>
      <c r="G549" s="494"/>
      <c r="H549" s="494">
        <v>0</v>
      </c>
      <c r="I549" s="307">
        <f t="shared" si="95"/>
        <v>0</v>
      </c>
      <c r="J549" s="307"/>
      <c r="K549" s="307">
        <f t="shared" si="95"/>
        <v>0</v>
      </c>
      <c r="L549" s="307">
        <f t="shared" si="95"/>
        <v>6117.2</v>
      </c>
      <c r="M549" s="307"/>
      <c r="N549" s="307">
        <f t="shared" si="95"/>
        <v>6117.2</v>
      </c>
    </row>
    <row r="550" spans="1:14" ht="39" x14ac:dyDescent="0.25">
      <c r="A550" s="229"/>
      <c r="B550" s="7"/>
      <c r="C550" s="248" t="s">
        <v>363</v>
      </c>
      <c r="D550" s="27"/>
      <c r="E550" s="26" t="s">
        <v>432</v>
      </c>
      <c r="F550" s="472">
        <v>0</v>
      </c>
      <c r="G550" s="472"/>
      <c r="H550" s="472">
        <v>0</v>
      </c>
      <c r="I550" s="29">
        <f t="shared" si="95"/>
        <v>0</v>
      </c>
      <c r="J550" s="29"/>
      <c r="K550" s="29">
        <f t="shared" si="95"/>
        <v>0</v>
      </c>
      <c r="L550" s="29">
        <f t="shared" si="95"/>
        <v>6117.2</v>
      </c>
      <c r="M550" s="29"/>
      <c r="N550" s="29">
        <f t="shared" si="95"/>
        <v>6117.2</v>
      </c>
    </row>
    <row r="551" spans="1:14" x14ac:dyDescent="0.25">
      <c r="A551" s="229"/>
      <c r="B551" s="7"/>
      <c r="C551" s="248"/>
      <c r="D551" s="27" t="s">
        <v>37</v>
      </c>
      <c r="E551" s="28" t="s">
        <v>38</v>
      </c>
      <c r="F551" s="472">
        <v>0</v>
      </c>
      <c r="G551" s="472"/>
      <c r="H551" s="472">
        <v>0</v>
      </c>
      <c r="I551" s="29">
        <f t="shared" si="95"/>
        <v>0</v>
      </c>
      <c r="J551" s="29"/>
      <c r="K551" s="29">
        <f t="shared" si="95"/>
        <v>0</v>
      </c>
      <c r="L551" s="29">
        <f t="shared" si="95"/>
        <v>6117.2</v>
      </c>
      <c r="M551" s="29"/>
      <c r="N551" s="29">
        <f t="shared" si="95"/>
        <v>6117.2</v>
      </c>
    </row>
    <row r="552" spans="1:14" x14ac:dyDescent="0.25">
      <c r="A552" s="229"/>
      <c r="B552" s="7"/>
      <c r="C552" s="248"/>
      <c r="D552" s="27"/>
      <c r="E552" s="30" t="s">
        <v>192</v>
      </c>
      <c r="F552" s="472">
        <v>0</v>
      </c>
      <c r="G552" s="472"/>
      <c r="H552" s="472">
        <v>0</v>
      </c>
      <c r="I552" s="29">
        <v>0</v>
      </c>
      <c r="J552" s="29"/>
      <c r="K552" s="29">
        <v>0</v>
      </c>
      <c r="L552" s="29">
        <v>6117.2</v>
      </c>
      <c r="M552" s="29"/>
      <c r="N552" s="29">
        <v>6117.2</v>
      </c>
    </row>
    <row r="553" spans="1:14" x14ac:dyDescent="0.25">
      <c r="A553" s="229"/>
      <c r="B553" s="7">
        <v>1004</v>
      </c>
      <c r="C553" s="230"/>
      <c r="D553" s="229"/>
      <c r="E553" s="231" t="s">
        <v>903</v>
      </c>
      <c r="F553" s="502">
        <f t="shared" ref="F553:N565" si="96">F554</f>
        <v>30807.299999999996</v>
      </c>
      <c r="G553" s="502">
        <f t="shared" si="96"/>
        <v>-367.65100000000001</v>
      </c>
      <c r="H553" s="502">
        <f t="shared" si="96"/>
        <v>30439.648999999998</v>
      </c>
      <c r="I553" s="297">
        <f t="shared" si="96"/>
        <v>21365.100000000002</v>
      </c>
      <c r="J553" s="297">
        <f t="shared" si="96"/>
        <v>0</v>
      </c>
      <c r="K553" s="297">
        <f t="shared" si="96"/>
        <v>21365.100000000002</v>
      </c>
      <c r="L553" s="297">
        <f t="shared" si="96"/>
        <v>21441.600000000002</v>
      </c>
      <c r="M553" s="297">
        <f t="shared" si="96"/>
        <v>0</v>
      </c>
      <c r="N553" s="297">
        <f t="shared" si="96"/>
        <v>21441.600000000002</v>
      </c>
    </row>
    <row r="554" spans="1:14" x14ac:dyDescent="0.25">
      <c r="A554" s="229"/>
      <c r="B554" s="7"/>
      <c r="C554" s="230" t="s">
        <v>9</v>
      </c>
      <c r="D554" s="7"/>
      <c r="E554" s="233" t="s">
        <v>848</v>
      </c>
      <c r="F554" s="502">
        <f t="shared" si="96"/>
        <v>30807.299999999996</v>
      </c>
      <c r="G554" s="502">
        <f t="shared" si="96"/>
        <v>-367.65100000000001</v>
      </c>
      <c r="H554" s="502">
        <f t="shared" si="96"/>
        <v>30439.648999999998</v>
      </c>
      <c r="I554" s="297">
        <f t="shared" si="96"/>
        <v>21365.100000000002</v>
      </c>
      <c r="J554" s="297">
        <f t="shared" si="96"/>
        <v>0</v>
      </c>
      <c r="K554" s="297">
        <f t="shared" si="96"/>
        <v>21365.100000000002</v>
      </c>
      <c r="L554" s="297">
        <f t="shared" si="96"/>
        <v>21441.600000000002</v>
      </c>
      <c r="M554" s="297">
        <f t="shared" si="96"/>
        <v>0</v>
      </c>
      <c r="N554" s="297">
        <f t="shared" si="96"/>
        <v>21441.600000000002</v>
      </c>
    </row>
    <row r="555" spans="1:14" ht="25.5" x14ac:dyDescent="0.25">
      <c r="A555" s="234"/>
      <c r="B555" s="235"/>
      <c r="C555" s="236" t="s">
        <v>166</v>
      </c>
      <c r="D555" s="235"/>
      <c r="E555" s="237" t="s">
        <v>167</v>
      </c>
      <c r="F555" s="503">
        <f t="shared" ref="F555:N555" si="97">F564+F556</f>
        <v>30807.299999999996</v>
      </c>
      <c r="G555" s="503">
        <f t="shared" si="97"/>
        <v>-367.65100000000001</v>
      </c>
      <c r="H555" s="503">
        <f t="shared" si="97"/>
        <v>30439.648999999998</v>
      </c>
      <c r="I555" s="299">
        <f t="shared" si="97"/>
        <v>21365.100000000002</v>
      </c>
      <c r="J555" s="299">
        <f t="shared" si="97"/>
        <v>0</v>
      </c>
      <c r="K555" s="299">
        <f t="shared" si="97"/>
        <v>21365.100000000002</v>
      </c>
      <c r="L555" s="299">
        <f t="shared" si="97"/>
        <v>21441.600000000002</v>
      </c>
      <c r="M555" s="299">
        <f t="shared" si="97"/>
        <v>0</v>
      </c>
      <c r="N555" s="299">
        <f t="shared" si="97"/>
        <v>21441.600000000002</v>
      </c>
    </row>
    <row r="556" spans="1:14" x14ac:dyDescent="0.25">
      <c r="A556" s="244"/>
      <c r="B556" s="34"/>
      <c r="C556" s="245" t="s">
        <v>168</v>
      </c>
      <c r="D556" s="34"/>
      <c r="E556" s="246" t="s">
        <v>898</v>
      </c>
      <c r="F556" s="494">
        <f t="shared" ref="F556:N556" si="98">F559+F557</f>
        <v>19122.199999999997</v>
      </c>
      <c r="G556" s="494">
        <f t="shared" si="98"/>
        <v>-367.63499999999999</v>
      </c>
      <c r="H556" s="494">
        <f t="shared" si="98"/>
        <v>18754.564999999999</v>
      </c>
      <c r="I556" s="247">
        <f t="shared" si="98"/>
        <v>16771.900000000001</v>
      </c>
      <c r="J556" s="247">
        <f t="shared" si="98"/>
        <v>0</v>
      </c>
      <c r="K556" s="247">
        <f t="shared" si="98"/>
        <v>16771.900000000001</v>
      </c>
      <c r="L556" s="247">
        <f t="shared" si="98"/>
        <v>16848.400000000001</v>
      </c>
      <c r="M556" s="247">
        <f t="shared" si="98"/>
        <v>0</v>
      </c>
      <c r="N556" s="247">
        <f t="shared" si="98"/>
        <v>16848.400000000001</v>
      </c>
    </row>
    <row r="557" spans="1:14" ht="64.5" x14ac:dyDescent="0.25">
      <c r="A557" s="229"/>
      <c r="B557" s="7"/>
      <c r="C557" s="248" t="s">
        <v>170</v>
      </c>
      <c r="D557" s="27"/>
      <c r="E557" s="26" t="s">
        <v>807</v>
      </c>
      <c r="F557" s="472">
        <f t="shared" ref="F557:N557" si="99">F558</f>
        <v>14185.099999999999</v>
      </c>
      <c r="G557" s="473">
        <f t="shared" si="99"/>
        <v>8.0000000000000002E-3</v>
      </c>
      <c r="H557" s="472">
        <f t="shared" si="99"/>
        <v>14185.107999999998</v>
      </c>
      <c r="I557" s="29">
        <f t="shared" si="99"/>
        <v>16771.900000000001</v>
      </c>
      <c r="J557" s="29">
        <f t="shared" si="99"/>
        <v>0</v>
      </c>
      <c r="K557" s="29">
        <f t="shared" si="99"/>
        <v>16771.900000000001</v>
      </c>
      <c r="L557" s="29">
        <f t="shared" si="99"/>
        <v>16848.400000000001</v>
      </c>
      <c r="M557" s="29">
        <f t="shared" si="99"/>
        <v>0</v>
      </c>
      <c r="N557" s="29">
        <f t="shared" si="99"/>
        <v>16848.400000000001</v>
      </c>
    </row>
    <row r="558" spans="1:14" x14ac:dyDescent="0.25">
      <c r="A558" s="229"/>
      <c r="B558" s="7"/>
      <c r="C558" s="248"/>
      <c r="D558" s="27" t="s">
        <v>37</v>
      </c>
      <c r="E558" s="28" t="s">
        <v>38</v>
      </c>
      <c r="F558" s="472">
        <v>14185.099999999999</v>
      </c>
      <c r="G558" s="473">
        <v>8.0000000000000002E-3</v>
      </c>
      <c r="H558" s="472">
        <f>SUM(F558:G558)</f>
        <v>14185.107999999998</v>
      </c>
      <c r="I558" s="29">
        <v>16771.900000000001</v>
      </c>
      <c r="J558" s="29"/>
      <c r="K558" s="29">
        <v>16771.900000000001</v>
      </c>
      <c r="L558" s="29">
        <v>16848.400000000001</v>
      </c>
      <c r="M558" s="29"/>
      <c r="N558" s="29">
        <v>16848.400000000001</v>
      </c>
    </row>
    <row r="559" spans="1:14" ht="51" x14ac:dyDescent="0.25">
      <c r="A559" s="229"/>
      <c r="B559" s="7"/>
      <c r="C559" s="248" t="s">
        <v>171</v>
      </c>
      <c r="D559" s="27"/>
      <c r="E559" s="28" t="s">
        <v>172</v>
      </c>
      <c r="F559" s="472">
        <v>4937.1000000000004</v>
      </c>
      <c r="G559" s="473">
        <f>G560</f>
        <v>-367.64299999999997</v>
      </c>
      <c r="H559" s="472">
        <f>H560</f>
        <v>4569.4570000000003</v>
      </c>
      <c r="I559" s="29">
        <f>I560</f>
        <v>0</v>
      </c>
      <c r="J559" s="29"/>
      <c r="K559" s="29">
        <f>K560</f>
        <v>0</v>
      </c>
      <c r="L559" s="29">
        <v>0</v>
      </c>
      <c r="M559" s="29"/>
      <c r="N559" s="29">
        <v>0</v>
      </c>
    </row>
    <row r="560" spans="1:14" x14ac:dyDescent="0.25">
      <c r="A560" s="225"/>
      <c r="B560" s="27"/>
      <c r="C560" s="248"/>
      <c r="D560" s="27" t="s">
        <v>37</v>
      </c>
      <c r="E560" s="28" t="s">
        <v>38</v>
      </c>
      <c r="F560" s="472">
        <v>4937.1000000000004</v>
      </c>
      <c r="G560" s="470">
        <f>G561+G562+G563</f>
        <v>-367.64299999999997</v>
      </c>
      <c r="H560" s="472">
        <f>H561+H563+H562</f>
        <v>4569.4570000000003</v>
      </c>
      <c r="I560" s="29">
        <v>0</v>
      </c>
      <c r="J560" s="29"/>
      <c r="K560" s="29">
        <v>0</v>
      </c>
      <c r="L560" s="29">
        <v>0</v>
      </c>
      <c r="M560" s="29"/>
      <c r="N560" s="29">
        <v>0</v>
      </c>
    </row>
    <row r="561" spans="1:14" ht="18" customHeight="1" x14ac:dyDescent="0.25">
      <c r="A561" s="225"/>
      <c r="B561" s="27"/>
      <c r="C561" s="248"/>
      <c r="D561" s="27"/>
      <c r="E561" s="28" t="s">
        <v>173</v>
      </c>
      <c r="F561" s="472">
        <v>2577.8000000000002</v>
      </c>
      <c r="G561" s="470">
        <v>-191.93799999999999</v>
      </c>
      <c r="H561" s="469">
        <f>SUM(F561:G561)</f>
        <v>2385.8620000000001</v>
      </c>
      <c r="I561" s="29">
        <v>0</v>
      </c>
      <c r="J561" s="29"/>
      <c r="K561" s="29">
        <v>0</v>
      </c>
      <c r="L561" s="29">
        <v>0</v>
      </c>
      <c r="M561" s="29"/>
      <c r="N561" s="29">
        <v>0</v>
      </c>
    </row>
    <row r="562" spans="1:14" ht="16.5" customHeight="1" x14ac:dyDescent="0.25">
      <c r="A562" s="225"/>
      <c r="B562" s="27"/>
      <c r="C562" s="248"/>
      <c r="D562" s="27"/>
      <c r="E562" s="28" t="s">
        <v>102</v>
      </c>
      <c r="F562" s="472">
        <v>859.3</v>
      </c>
      <c r="G562" s="470">
        <v>-64.012</v>
      </c>
      <c r="H562" s="469">
        <f t="shared" ref="H562:H563" si="100">SUM(F562:G562)</f>
        <v>795.28800000000001</v>
      </c>
      <c r="I562" s="29">
        <v>0</v>
      </c>
      <c r="J562" s="29"/>
      <c r="K562" s="29">
        <v>0</v>
      </c>
      <c r="L562" s="29">
        <v>0</v>
      </c>
      <c r="M562" s="29"/>
      <c r="N562" s="29">
        <v>0</v>
      </c>
    </row>
    <row r="563" spans="1:14" x14ac:dyDescent="0.25">
      <c r="A563" s="225"/>
      <c r="B563" s="27"/>
      <c r="C563" s="248"/>
      <c r="D563" s="27"/>
      <c r="E563" s="28" t="s">
        <v>146</v>
      </c>
      <c r="F563" s="472">
        <v>1500</v>
      </c>
      <c r="G563" s="470">
        <v>-111.693</v>
      </c>
      <c r="H563" s="469">
        <f t="shared" si="100"/>
        <v>1388.307</v>
      </c>
      <c r="I563" s="29">
        <v>0</v>
      </c>
      <c r="J563" s="29"/>
      <c r="K563" s="29">
        <v>0</v>
      </c>
      <c r="L563" s="29">
        <v>0</v>
      </c>
      <c r="M563" s="29"/>
      <c r="N563" s="29">
        <v>0</v>
      </c>
    </row>
    <row r="564" spans="1:14" ht="38.25" x14ac:dyDescent="0.25">
      <c r="A564" s="244"/>
      <c r="B564" s="34"/>
      <c r="C564" s="245" t="s">
        <v>180</v>
      </c>
      <c r="D564" s="34"/>
      <c r="E564" s="253" t="s">
        <v>181</v>
      </c>
      <c r="F564" s="495">
        <f t="shared" si="96"/>
        <v>11685.099999999999</v>
      </c>
      <c r="G564" s="495">
        <f t="shared" si="96"/>
        <v>-1.6E-2</v>
      </c>
      <c r="H564" s="495">
        <f t="shared" si="96"/>
        <v>11685.083999999999</v>
      </c>
      <c r="I564" s="250">
        <f t="shared" si="96"/>
        <v>4593.2</v>
      </c>
      <c r="J564" s="250"/>
      <c r="K564" s="250">
        <f t="shared" si="96"/>
        <v>4593.2</v>
      </c>
      <c r="L564" s="250">
        <f t="shared" si="96"/>
        <v>4593.2</v>
      </c>
      <c r="M564" s="250"/>
      <c r="N564" s="250">
        <f t="shared" si="96"/>
        <v>4593.2</v>
      </c>
    </row>
    <row r="565" spans="1:14" ht="63.75" x14ac:dyDescent="0.25">
      <c r="A565" s="225"/>
      <c r="B565" s="27"/>
      <c r="C565" s="248" t="s">
        <v>184</v>
      </c>
      <c r="D565" s="27"/>
      <c r="E565" s="325" t="s">
        <v>185</v>
      </c>
      <c r="F565" s="496">
        <f t="shared" si="96"/>
        <v>11685.099999999999</v>
      </c>
      <c r="G565" s="598">
        <f t="shared" si="96"/>
        <v>-1.6E-2</v>
      </c>
      <c r="H565" s="496">
        <f t="shared" si="96"/>
        <v>11685.083999999999</v>
      </c>
      <c r="I565" s="252">
        <f t="shared" si="96"/>
        <v>4593.2</v>
      </c>
      <c r="J565" s="252"/>
      <c r="K565" s="252">
        <f t="shared" si="96"/>
        <v>4593.2</v>
      </c>
      <c r="L565" s="252">
        <f t="shared" si="96"/>
        <v>4593.2</v>
      </c>
      <c r="M565" s="252"/>
      <c r="N565" s="252">
        <f t="shared" si="96"/>
        <v>4593.2</v>
      </c>
    </row>
    <row r="566" spans="1:14" ht="25.5" x14ac:dyDescent="0.25">
      <c r="A566" s="225"/>
      <c r="B566" s="27"/>
      <c r="C566" s="230"/>
      <c r="D566" s="27" t="s">
        <v>186</v>
      </c>
      <c r="E566" s="28" t="s">
        <v>187</v>
      </c>
      <c r="F566" s="472">
        <v>11685.099999999999</v>
      </c>
      <c r="G566" s="473">
        <v>-1.6E-2</v>
      </c>
      <c r="H566" s="472">
        <f>SUM(F566:G566)</f>
        <v>11685.083999999999</v>
      </c>
      <c r="I566" s="29">
        <v>4593.2</v>
      </c>
      <c r="J566" s="29"/>
      <c r="K566" s="29">
        <v>4593.2</v>
      </c>
      <c r="L566" s="29">
        <v>4593.2</v>
      </c>
      <c r="M566" s="29"/>
      <c r="N566" s="29">
        <v>4593.2</v>
      </c>
    </row>
    <row r="567" spans="1:14" x14ac:dyDescent="0.25">
      <c r="A567" s="229"/>
      <c r="B567" s="7" t="s">
        <v>904</v>
      </c>
      <c r="C567" s="230"/>
      <c r="D567" s="7"/>
      <c r="E567" s="231" t="s">
        <v>905</v>
      </c>
      <c r="F567" s="502">
        <f t="shared" ref="F567:N571" si="101">F568</f>
        <v>95.9</v>
      </c>
      <c r="G567" s="502">
        <f t="shared" si="101"/>
        <v>-3.0000000000000001E-3</v>
      </c>
      <c r="H567" s="502">
        <f t="shared" si="101"/>
        <v>95.897000000000006</v>
      </c>
      <c r="I567" s="297">
        <f t="shared" si="101"/>
        <v>107.9</v>
      </c>
      <c r="J567" s="297"/>
      <c r="K567" s="297">
        <f t="shared" si="101"/>
        <v>107.9</v>
      </c>
      <c r="L567" s="297">
        <f t="shared" si="101"/>
        <v>119.9</v>
      </c>
      <c r="M567" s="297"/>
      <c r="N567" s="297">
        <f t="shared" si="101"/>
        <v>119.9</v>
      </c>
    </row>
    <row r="568" spans="1:14" ht="25.5" x14ac:dyDescent="0.25">
      <c r="A568" s="229"/>
      <c r="B568" s="7"/>
      <c r="C568" s="230" t="s">
        <v>9</v>
      </c>
      <c r="D568" s="7"/>
      <c r="E568" s="233" t="s">
        <v>10</v>
      </c>
      <c r="F568" s="502">
        <f t="shared" si="101"/>
        <v>95.9</v>
      </c>
      <c r="G568" s="502">
        <f t="shared" si="101"/>
        <v>-3.0000000000000001E-3</v>
      </c>
      <c r="H568" s="502">
        <f t="shared" si="101"/>
        <v>95.897000000000006</v>
      </c>
      <c r="I568" s="297">
        <f t="shared" si="101"/>
        <v>107.9</v>
      </c>
      <c r="J568" s="297"/>
      <c r="K568" s="297">
        <f t="shared" si="101"/>
        <v>107.9</v>
      </c>
      <c r="L568" s="297">
        <f t="shared" si="101"/>
        <v>119.9</v>
      </c>
      <c r="M568" s="297"/>
      <c r="N568" s="297">
        <f t="shared" si="101"/>
        <v>119.9</v>
      </c>
    </row>
    <row r="569" spans="1:14" ht="25.5" x14ac:dyDescent="0.25">
      <c r="A569" s="234"/>
      <c r="B569" s="235"/>
      <c r="C569" s="236" t="s">
        <v>166</v>
      </c>
      <c r="D569" s="235"/>
      <c r="E569" s="237" t="s">
        <v>167</v>
      </c>
      <c r="F569" s="503">
        <f t="shared" si="101"/>
        <v>95.9</v>
      </c>
      <c r="G569" s="503">
        <f t="shared" si="101"/>
        <v>-3.0000000000000001E-3</v>
      </c>
      <c r="H569" s="503">
        <f t="shared" si="101"/>
        <v>95.897000000000006</v>
      </c>
      <c r="I569" s="299">
        <f t="shared" si="101"/>
        <v>107.9</v>
      </c>
      <c r="J569" s="299"/>
      <c r="K569" s="299">
        <f t="shared" si="101"/>
        <v>107.9</v>
      </c>
      <c r="L569" s="299">
        <f t="shared" si="101"/>
        <v>119.9</v>
      </c>
      <c r="M569" s="299"/>
      <c r="N569" s="299">
        <f t="shared" si="101"/>
        <v>119.9</v>
      </c>
    </row>
    <row r="570" spans="1:14" ht="38.25" x14ac:dyDescent="0.25">
      <c r="A570" s="244"/>
      <c r="B570" s="34"/>
      <c r="C570" s="245" t="s">
        <v>180</v>
      </c>
      <c r="D570" s="34"/>
      <c r="E570" s="253" t="s">
        <v>181</v>
      </c>
      <c r="F570" s="495">
        <f t="shared" si="101"/>
        <v>95.9</v>
      </c>
      <c r="G570" s="495">
        <f t="shared" si="101"/>
        <v>-3.0000000000000001E-3</v>
      </c>
      <c r="H570" s="495">
        <f t="shared" si="101"/>
        <v>95.897000000000006</v>
      </c>
      <c r="I570" s="250">
        <f t="shared" si="101"/>
        <v>107.9</v>
      </c>
      <c r="J570" s="250"/>
      <c r="K570" s="250">
        <f t="shared" si="101"/>
        <v>107.9</v>
      </c>
      <c r="L570" s="250">
        <f t="shared" si="101"/>
        <v>119.9</v>
      </c>
      <c r="M570" s="250"/>
      <c r="N570" s="250">
        <f t="shared" si="101"/>
        <v>119.9</v>
      </c>
    </row>
    <row r="571" spans="1:14" ht="25.5" x14ac:dyDescent="0.25">
      <c r="A571" s="225"/>
      <c r="B571" s="27"/>
      <c r="C571" s="248" t="s">
        <v>182</v>
      </c>
      <c r="D571" s="27"/>
      <c r="E571" s="28" t="s">
        <v>183</v>
      </c>
      <c r="F571" s="496">
        <f t="shared" si="101"/>
        <v>95.9</v>
      </c>
      <c r="G571" s="598">
        <f t="shared" si="101"/>
        <v>-3.0000000000000001E-3</v>
      </c>
      <c r="H571" s="496">
        <f t="shared" si="101"/>
        <v>95.897000000000006</v>
      </c>
      <c r="I571" s="252">
        <f t="shared" si="101"/>
        <v>107.9</v>
      </c>
      <c r="J571" s="252"/>
      <c r="K571" s="252">
        <f t="shared" si="101"/>
        <v>107.9</v>
      </c>
      <c r="L571" s="252">
        <f t="shared" si="101"/>
        <v>119.9</v>
      </c>
      <c r="M571" s="252"/>
      <c r="N571" s="252">
        <f t="shared" si="101"/>
        <v>119.9</v>
      </c>
    </row>
    <row r="572" spans="1:14" ht="25.5" x14ac:dyDescent="0.25">
      <c r="A572" s="225"/>
      <c r="B572" s="27"/>
      <c r="C572" s="230"/>
      <c r="D572" s="27" t="s">
        <v>17</v>
      </c>
      <c r="E572" s="30" t="s">
        <v>18</v>
      </c>
      <c r="F572" s="472">
        <v>95.9</v>
      </c>
      <c r="G572" s="473">
        <v>-3.0000000000000001E-3</v>
      </c>
      <c r="H572" s="472">
        <f>SUM(F572:G572)</f>
        <v>95.897000000000006</v>
      </c>
      <c r="I572" s="29">
        <v>107.9</v>
      </c>
      <c r="J572" s="29"/>
      <c r="K572" s="29">
        <v>107.9</v>
      </c>
      <c r="L572" s="29">
        <v>119.9</v>
      </c>
      <c r="M572" s="29"/>
      <c r="N572" s="29">
        <v>119.9</v>
      </c>
    </row>
    <row r="573" spans="1:14" ht="25.5" x14ac:dyDescent="0.25">
      <c r="A573" s="226">
        <v>611</v>
      </c>
      <c r="B573" s="326"/>
      <c r="C573" s="327"/>
      <c r="D573" s="226"/>
      <c r="E573" s="227" t="s">
        <v>906</v>
      </c>
      <c r="F573" s="490">
        <f t="shared" ref="F573:N573" si="102">F574+F582+F590+F729+F764</f>
        <v>415956.3</v>
      </c>
      <c r="G573" s="490">
        <f t="shared" si="102"/>
        <v>6774.2279999999992</v>
      </c>
      <c r="H573" s="490">
        <f t="shared" si="102"/>
        <v>422730.52799999993</v>
      </c>
      <c r="I573" s="228">
        <f t="shared" si="102"/>
        <v>392614.9</v>
      </c>
      <c r="J573" s="228">
        <f t="shared" si="102"/>
        <v>1977.3</v>
      </c>
      <c r="K573" s="228">
        <f t="shared" si="102"/>
        <v>394592.2</v>
      </c>
      <c r="L573" s="228">
        <f t="shared" si="102"/>
        <v>387709.2</v>
      </c>
      <c r="M573" s="228">
        <f t="shared" si="102"/>
        <v>0</v>
      </c>
      <c r="N573" s="228">
        <f t="shared" si="102"/>
        <v>387709.2</v>
      </c>
    </row>
    <row r="574" spans="1:14" x14ac:dyDescent="0.25">
      <c r="A574" s="229"/>
      <c r="B574" s="7" t="s">
        <v>816</v>
      </c>
      <c r="C574" s="230"/>
      <c r="D574" s="229"/>
      <c r="E574" s="231" t="s">
        <v>817</v>
      </c>
      <c r="F574" s="491">
        <f t="shared" ref="F574:N580" si="103">F575</f>
        <v>10</v>
      </c>
      <c r="G574" s="491"/>
      <c r="H574" s="491">
        <f t="shared" si="103"/>
        <v>10</v>
      </c>
      <c r="I574" s="232">
        <f t="shared" si="103"/>
        <v>10</v>
      </c>
      <c r="J574" s="232"/>
      <c r="K574" s="232">
        <f t="shared" si="103"/>
        <v>10</v>
      </c>
      <c r="L574" s="232">
        <f t="shared" si="103"/>
        <v>10</v>
      </c>
      <c r="M574" s="232"/>
      <c r="N574" s="232">
        <f t="shared" si="103"/>
        <v>10</v>
      </c>
    </row>
    <row r="575" spans="1:14" x14ac:dyDescent="0.25">
      <c r="A575" s="229"/>
      <c r="B575" s="7" t="s">
        <v>830</v>
      </c>
      <c r="C575" s="230"/>
      <c r="D575" s="229"/>
      <c r="E575" s="231" t="s">
        <v>831</v>
      </c>
      <c r="F575" s="491">
        <f t="shared" si="103"/>
        <v>10</v>
      </c>
      <c r="G575" s="491"/>
      <c r="H575" s="491">
        <f t="shared" si="103"/>
        <v>10</v>
      </c>
      <c r="I575" s="232">
        <f t="shared" si="103"/>
        <v>10</v>
      </c>
      <c r="J575" s="232"/>
      <c r="K575" s="232">
        <f t="shared" si="103"/>
        <v>10</v>
      </c>
      <c r="L575" s="232">
        <f t="shared" si="103"/>
        <v>10</v>
      </c>
      <c r="M575" s="232"/>
      <c r="N575" s="232">
        <f t="shared" si="103"/>
        <v>10</v>
      </c>
    </row>
    <row r="576" spans="1:14" ht="25.5" x14ac:dyDescent="0.25">
      <c r="A576" s="229"/>
      <c r="B576" s="7"/>
      <c r="C576" s="230" t="s">
        <v>9</v>
      </c>
      <c r="D576" s="229"/>
      <c r="E576" s="233" t="s">
        <v>10</v>
      </c>
      <c r="F576" s="491">
        <f t="shared" si="103"/>
        <v>10</v>
      </c>
      <c r="G576" s="491"/>
      <c r="H576" s="491">
        <f t="shared" si="103"/>
        <v>10</v>
      </c>
      <c r="I576" s="232">
        <f t="shared" si="103"/>
        <v>10</v>
      </c>
      <c r="J576" s="232"/>
      <c r="K576" s="232">
        <f t="shared" si="103"/>
        <v>10</v>
      </c>
      <c r="L576" s="232">
        <f t="shared" si="103"/>
        <v>10</v>
      </c>
      <c r="M576" s="232"/>
      <c r="N576" s="232">
        <f t="shared" si="103"/>
        <v>10</v>
      </c>
    </row>
    <row r="577" spans="1:14" ht="25.5" x14ac:dyDescent="0.25">
      <c r="A577" s="234"/>
      <c r="B577" s="235"/>
      <c r="C577" s="236" t="s">
        <v>153</v>
      </c>
      <c r="D577" s="235"/>
      <c r="E577" s="237" t="s">
        <v>154</v>
      </c>
      <c r="F577" s="492">
        <f t="shared" si="103"/>
        <v>10</v>
      </c>
      <c r="G577" s="492"/>
      <c r="H577" s="492">
        <f t="shared" si="103"/>
        <v>10</v>
      </c>
      <c r="I577" s="238">
        <f t="shared" si="103"/>
        <v>10</v>
      </c>
      <c r="J577" s="238"/>
      <c r="K577" s="238">
        <f t="shared" si="103"/>
        <v>10</v>
      </c>
      <c r="L577" s="238">
        <f t="shared" si="103"/>
        <v>10</v>
      </c>
      <c r="M577" s="238"/>
      <c r="N577" s="238">
        <f t="shared" si="103"/>
        <v>10</v>
      </c>
    </row>
    <row r="578" spans="1:14" ht="25.5" x14ac:dyDescent="0.25">
      <c r="A578" s="291"/>
      <c r="B578" s="308"/>
      <c r="C578" s="309" t="s">
        <v>156</v>
      </c>
      <c r="D578" s="308"/>
      <c r="E578" s="292" t="s">
        <v>990</v>
      </c>
      <c r="F578" s="505">
        <f t="shared" si="103"/>
        <v>10</v>
      </c>
      <c r="G578" s="505"/>
      <c r="H578" s="505">
        <f t="shared" si="103"/>
        <v>10</v>
      </c>
      <c r="I578" s="311">
        <f t="shared" si="103"/>
        <v>10</v>
      </c>
      <c r="J578" s="311"/>
      <c r="K578" s="311">
        <f t="shared" si="103"/>
        <v>10</v>
      </c>
      <c r="L578" s="311">
        <f t="shared" si="103"/>
        <v>10</v>
      </c>
      <c r="M578" s="311"/>
      <c r="N578" s="311">
        <f t="shared" si="103"/>
        <v>10</v>
      </c>
    </row>
    <row r="579" spans="1:14" ht="25.5" x14ac:dyDescent="0.25">
      <c r="A579" s="244"/>
      <c r="B579" s="34"/>
      <c r="C579" s="245" t="s">
        <v>157</v>
      </c>
      <c r="D579" s="34"/>
      <c r="E579" s="246" t="s">
        <v>992</v>
      </c>
      <c r="F579" s="494">
        <f t="shared" si="103"/>
        <v>10</v>
      </c>
      <c r="G579" s="494"/>
      <c r="H579" s="494">
        <f t="shared" si="103"/>
        <v>10</v>
      </c>
      <c r="I579" s="247">
        <f t="shared" si="103"/>
        <v>10</v>
      </c>
      <c r="J579" s="247"/>
      <c r="K579" s="247">
        <f t="shared" si="103"/>
        <v>10</v>
      </c>
      <c r="L579" s="247">
        <f t="shared" si="103"/>
        <v>10</v>
      </c>
      <c r="M579" s="247"/>
      <c r="N579" s="247">
        <f t="shared" si="103"/>
        <v>10</v>
      </c>
    </row>
    <row r="580" spans="1:14" ht="25.5" x14ac:dyDescent="0.25">
      <c r="A580" s="225"/>
      <c r="B580" s="27"/>
      <c r="C580" s="248" t="s">
        <v>158</v>
      </c>
      <c r="D580" s="27"/>
      <c r="E580" s="28" t="s">
        <v>159</v>
      </c>
      <c r="F580" s="472">
        <f t="shared" si="103"/>
        <v>10</v>
      </c>
      <c r="G580" s="472"/>
      <c r="H580" s="472">
        <f t="shared" si="103"/>
        <v>10</v>
      </c>
      <c r="I580" s="29">
        <f t="shared" si="103"/>
        <v>10</v>
      </c>
      <c r="J580" s="29"/>
      <c r="K580" s="29">
        <f t="shared" si="103"/>
        <v>10</v>
      </c>
      <c r="L580" s="29">
        <f t="shared" si="103"/>
        <v>10</v>
      </c>
      <c r="M580" s="29"/>
      <c r="N580" s="29">
        <f t="shared" si="103"/>
        <v>10</v>
      </c>
    </row>
    <row r="581" spans="1:14" ht="25.5" x14ac:dyDescent="0.25">
      <c r="A581" s="225"/>
      <c r="B581" s="27"/>
      <c r="C581" s="230"/>
      <c r="D581" s="27" t="s">
        <v>64</v>
      </c>
      <c r="E581" s="28" t="s">
        <v>65</v>
      </c>
      <c r="F581" s="472">
        <v>10</v>
      </c>
      <c r="G581" s="472"/>
      <c r="H581" s="472">
        <v>10</v>
      </c>
      <c r="I581" s="29">
        <v>10</v>
      </c>
      <c r="J581" s="29"/>
      <c r="K581" s="29">
        <v>10</v>
      </c>
      <c r="L581" s="29">
        <v>10</v>
      </c>
      <c r="M581" s="29"/>
      <c r="N581" s="29">
        <v>10</v>
      </c>
    </row>
    <row r="582" spans="1:14" x14ac:dyDescent="0.25">
      <c r="A582" s="229"/>
      <c r="B582" s="7" t="s">
        <v>907</v>
      </c>
      <c r="C582" s="230"/>
      <c r="D582" s="229"/>
      <c r="E582" s="231" t="s">
        <v>908</v>
      </c>
      <c r="F582" s="491">
        <f t="shared" ref="F582:N584" si="104">F583</f>
        <v>15.2</v>
      </c>
      <c r="G582" s="491"/>
      <c r="H582" s="491">
        <f t="shared" si="104"/>
        <v>15.2</v>
      </c>
      <c r="I582" s="232">
        <f t="shared" si="104"/>
        <v>15.2</v>
      </c>
      <c r="J582" s="232"/>
      <c r="K582" s="232">
        <f t="shared" si="104"/>
        <v>15.2</v>
      </c>
      <c r="L582" s="232">
        <f t="shared" si="104"/>
        <v>15.2</v>
      </c>
      <c r="M582" s="232"/>
      <c r="N582" s="232">
        <f t="shared" si="104"/>
        <v>15.2</v>
      </c>
    </row>
    <row r="583" spans="1:14" x14ac:dyDescent="0.25">
      <c r="A583" s="229"/>
      <c r="B583" s="7" t="s">
        <v>909</v>
      </c>
      <c r="C583" s="230"/>
      <c r="D583" s="229"/>
      <c r="E583" s="231" t="s">
        <v>910</v>
      </c>
      <c r="F583" s="491">
        <f t="shared" si="104"/>
        <v>15.2</v>
      </c>
      <c r="G583" s="491"/>
      <c r="H583" s="491">
        <f t="shared" si="104"/>
        <v>15.2</v>
      </c>
      <c r="I583" s="232">
        <f t="shared" si="104"/>
        <v>15.2</v>
      </c>
      <c r="J583" s="232"/>
      <c r="K583" s="232">
        <f t="shared" si="104"/>
        <v>15.2</v>
      </c>
      <c r="L583" s="232">
        <f t="shared" si="104"/>
        <v>15.2</v>
      </c>
      <c r="M583" s="232"/>
      <c r="N583" s="232">
        <f t="shared" si="104"/>
        <v>15.2</v>
      </c>
    </row>
    <row r="584" spans="1:14" ht="25.5" x14ac:dyDescent="0.25">
      <c r="A584" s="229"/>
      <c r="B584" s="7"/>
      <c r="C584" s="230"/>
      <c r="D584" s="229"/>
      <c r="E584" s="233" t="s">
        <v>10</v>
      </c>
      <c r="F584" s="491">
        <f t="shared" si="104"/>
        <v>15.2</v>
      </c>
      <c r="G584" s="491"/>
      <c r="H584" s="491">
        <f t="shared" si="104"/>
        <v>15.2</v>
      </c>
      <c r="I584" s="232">
        <f t="shared" si="104"/>
        <v>15.2</v>
      </c>
      <c r="J584" s="232"/>
      <c r="K584" s="232">
        <f t="shared" si="104"/>
        <v>15.2</v>
      </c>
      <c r="L584" s="232">
        <f t="shared" si="104"/>
        <v>15.2</v>
      </c>
      <c r="M584" s="232"/>
      <c r="N584" s="232">
        <f t="shared" si="104"/>
        <v>15.2</v>
      </c>
    </row>
    <row r="585" spans="1:14" ht="25.5" x14ac:dyDescent="0.25">
      <c r="A585" s="234"/>
      <c r="B585" s="235"/>
      <c r="C585" s="236" t="s">
        <v>260</v>
      </c>
      <c r="D585" s="235"/>
      <c r="E585" s="237" t="s">
        <v>261</v>
      </c>
      <c r="F585" s="492">
        <f>F587</f>
        <v>15.2</v>
      </c>
      <c r="G585" s="492"/>
      <c r="H585" s="492">
        <f>H587</f>
        <v>15.2</v>
      </c>
      <c r="I585" s="238">
        <f>I587</f>
        <v>15.2</v>
      </c>
      <c r="J585" s="238"/>
      <c r="K585" s="238">
        <f>K587</f>
        <v>15.2</v>
      </c>
      <c r="L585" s="238">
        <f>L587</f>
        <v>15.2</v>
      </c>
      <c r="M585" s="238"/>
      <c r="N585" s="238">
        <f>N587</f>
        <v>15.2</v>
      </c>
    </row>
    <row r="586" spans="1:14" ht="25.5" x14ac:dyDescent="0.25">
      <c r="A586" s="294"/>
      <c r="B586" s="287"/>
      <c r="C586" s="288" t="s">
        <v>268</v>
      </c>
      <c r="D586" s="287"/>
      <c r="E586" s="289" t="s">
        <v>269</v>
      </c>
      <c r="F586" s="493">
        <f t="shared" ref="F586:N587" si="105">F587</f>
        <v>15.2</v>
      </c>
      <c r="G586" s="493"/>
      <c r="H586" s="493">
        <f t="shared" si="105"/>
        <v>15.2</v>
      </c>
      <c r="I586" s="290">
        <f t="shared" si="105"/>
        <v>15.2</v>
      </c>
      <c r="J586" s="290"/>
      <c r="K586" s="290">
        <f t="shared" si="105"/>
        <v>15.2</v>
      </c>
      <c r="L586" s="290">
        <f t="shared" si="105"/>
        <v>15.2</v>
      </c>
      <c r="M586" s="290"/>
      <c r="N586" s="290">
        <f t="shared" si="105"/>
        <v>15.2</v>
      </c>
    </row>
    <row r="587" spans="1:14" x14ac:dyDescent="0.25">
      <c r="A587" s="229"/>
      <c r="B587" s="7"/>
      <c r="C587" s="230" t="s">
        <v>277</v>
      </c>
      <c r="D587" s="7"/>
      <c r="E587" s="328" t="s">
        <v>278</v>
      </c>
      <c r="F587" s="491">
        <f t="shared" si="105"/>
        <v>15.2</v>
      </c>
      <c r="G587" s="491"/>
      <c r="H587" s="491">
        <f t="shared" si="105"/>
        <v>15.2</v>
      </c>
      <c r="I587" s="232">
        <f t="shared" si="105"/>
        <v>15.2</v>
      </c>
      <c r="J587" s="232"/>
      <c r="K587" s="232">
        <f t="shared" si="105"/>
        <v>15.2</v>
      </c>
      <c r="L587" s="232">
        <f t="shared" si="105"/>
        <v>15.2</v>
      </c>
      <c r="M587" s="232"/>
      <c r="N587" s="232">
        <f t="shared" si="105"/>
        <v>15.2</v>
      </c>
    </row>
    <row r="588" spans="1:14" ht="25.5" x14ac:dyDescent="0.25">
      <c r="A588" s="229"/>
      <c r="B588" s="27"/>
      <c r="C588" s="313" t="s">
        <v>283</v>
      </c>
      <c r="D588" s="7"/>
      <c r="E588" s="28" t="s">
        <v>284</v>
      </c>
      <c r="F588" s="472">
        <v>15.2</v>
      </c>
      <c r="G588" s="472"/>
      <c r="H588" s="472">
        <v>15.2</v>
      </c>
      <c r="I588" s="29">
        <v>15.2</v>
      </c>
      <c r="J588" s="29"/>
      <c r="K588" s="29">
        <v>15.2</v>
      </c>
      <c r="L588" s="29">
        <v>15.2</v>
      </c>
      <c r="M588" s="29"/>
      <c r="N588" s="29">
        <v>15.2</v>
      </c>
    </row>
    <row r="589" spans="1:14" ht="25.5" x14ac:dyDescent="0.25">
      <c r="A589" s="229"/>
      <c r="B589" s="7"/>
      <c r="C589" s="248"/>
      <c r="D589" s="27" t="s">
        <v>64</v>
      </c>
      <c r="E589" s="28" t="s">
        <v>65</v>
      </c>
      <c r="F589" s="472">
        <v>15.2</v>
      </c>
      <c r="G589" s="472"/>
      <c r="H589" s="472">
        <v>15.2</v>
      </c>
      <c r="I589" s="29">
        <v>15.2</v>
      </c>
      <c r="J589" s="29"/>
      <c r="K589" s="29">
        <v>15.2</v>
      </c>
      <c r="L589" s="29">
        <v>15.2</v>
      </c>
      <c r="M589" s="29"/>
      <c r="N589" s="29">
        <v>15.2</v>
      </c>
    </row>
    <row r="590" spans="1:14" x14ac:dyDescent="0.25">
      <c r="A590" s="225"/>
      <c r="B590" s="7" t="s">
        <v>888</v>
      </c>
      <c r="C590" s="230"/>
      <c r="D590" s="229"/>
      <c r="E590" s="231" t="s">
        <v>889</v>
      </c>
      <c r="F590" s="491">
        <f t="shared" ref="F590:N590" si="106">F591+F618+F691+F669+F678</f>
        <v>378454.79999999993</v>
      </c>
      <c r="G590" s="491">
        <f t="shared" si="106"/>
        <v>7654.2709999999988</v>
      </c>
      <c r="H590" s="491">
        <f t="shared" si="106"/>
        <v>386109.07099999994</v>
      </c>
      <c r="I590" s="232">
        <f t="shared" si="106"/>
        <v>363472.3</v>
      </c>
      <c r="J590" s="232">
        <f t="shared" si="106"/>
        <v>1102.3</v>
      </c>
      <c r="K590" s="232">
        <f t="shared" si="106"/>
        <v>364574.6</v>
      </c>
      <c r="L590" s="232">
        <f t="shared" si="106"/>
        <v>359314.8</v>
      </c>
      <c r="M590" s="232">
        <f t="shared" si="106"/>
        <v>0</v>
      </c>
      <c r="N590" s="232">
        <f t="shared" si="106"/>
        <v>359314.8</v>
      </c>
    </row>
    <row r="591" spans="1:14" x14ac:dyDescent="0.25">
      <c r="A591" s="225"/>
      <c r="B591" s="7" t="s">
        <v>911</v>
      </c>
      <c r="C591" s="230"/>
      <c r="D591" s="229"/>
      <c r="E591" s="231" t="s">
        <v>912</v>
      </c>
      <c r="F591" s="491">
        <f t="shared" ref="F591:N592" si="107">F592</f>
        <v>101263.8</v>
      </c>
      <c r="G591" s="491">
        <f t="shared" si="107"/>
        <v>1232.5</v>
      </c>
      <c r="H591" s="491">
        <f t="shared" si="107"/>
        <v>102496.3</v>
      </c>
      <c r="I591" s="232">
        <f t="shared" si="107"/>
        <v>95039.000000000015</v>
      </c>
      <c r="J591" s="232">
        <f t="shared" si="107"/>
        <v>0</v>
      </c>
      <c r="K591" s="232">
        <f t="shared" si="107"/>
        <v>95039.000000000015</v>
      </c>
      <c r="L591" s="232">
        <f t="shared" si="107"/>
        <v>92068.3</v>
      </c>
      <c r="M591" s="232">
        <f t="shared" si="107"/>
        <v>0</v>
      </c>
      <c r="N591" s="232">
        <f t="shared" si="107"/>
        <v>92068.3</v>
      </c>
    </row>
    <row r="592" spans="1:14" x14ac:dyDescent="0.25">
      <c r="A592" s="225"/>
      <c r="B592" s="7"/>
      <c r="C592" s="230" t="s">
        <v>9</v>
      </c>
      <c r="D592" s="229"/>
      <c r="E592" s="30" t="s">
        <v>848</v>
      </c>
      <c r="F592" s="491">
        <f t="shared" si="107"/>
        <v>101263.8</v>
      </c>
      <c r="G592" s="491">
        <f t="shared" si="107"/>
        <v>1232.5</v>
      </c>
      <c r="H592" s="491">
        <f t="shared" si="107"/>
        <v>102496.3</v>
      </c>
      <c r="I592" s="232">
        <f t="shared" si="107"/>
        <v>95039.000000000015</v>
      </c>
      <c r="J592" s="232">
        <f t="shared" si="107"/>
        <v>0</v>
      </c>
      <c r="K592" s="232">
        <f t="shared" si="107"/>
        <v>95039.000000000015</v>
      </c>
      <c r="L592" s="232">
        <f t="shared" si="107"/>
        <v>92068.3</v>
      </c>
      <c r="M592" s="232">
        <f t="shared" si="107"/>
        <v>0</v>
      </c>
      <c r="N592" s="232">
        <f t="shared" si="107"/>
        <v>92068.3</v>
      </c>
    </row>
    <row r="593" spans="1:14" ht="25.5" x14ac:dyDescent="0.25">
      <c r="A593" s="260"/>
      <c r="B593" s="235"/>
      <c r="C593" s="236" t="s">
        <v>56</v>
      </c>
      <c r="D593" s="235"/>
      <c r="E593" s="237" t="s">
        <v>57</v>
      </c>
      <c r="F593" s="492">
        <f>F594+F606+F610</f>
        <v>101263.8</v>
      </c>
      <c r="G593" s="492">
        <f>G594+G606+G610</f>
        <v>1232.5</v>
      </c>
      <c r="H593" s="492">
        <f>H594+H606+H610</f>
        <v>102496.3</v>
      </c>
      <c r="I593" s="238">
        <f>I594+I606</f>
        <v>95039.000000000015</v>
      </c>
      <c r="J593" s="238">
        <f>J594+J606+J610</f>
        <v>0</v>
      </c>
      <c r="K593" s="238">
        <f>K594+K606</f>
        <v>95039.000000000015</v>
      </c>
      <c r="L593" s="238">
        <f>L594+L606</f>
        <v>92068.3</v>
      </c>
      <c r="M593" s="238">
        <f>M594+M606+M610</f>
        <v>0</v>
      </c>
      <c r="N593" s="238">
        <f>N594+N606</f>
        <v>92068.3</v>
      </c>
    </row>
    <row r="594" spans="1:14" x14ac:dyDescent="0.25">
      <c r="A594" s="291"/>
      <c r="B594" s="308"/>
      <c r="C594" s="309" t="s">
        <v>58</v>
      </c>
      <c r="D594" s="308"/>
      <c r="E594" s="292" t="s">
        <v>59</v>
      </c>
      <c r="F594" s="505">
        <f t="shared" ref="F594:N594" si="108">F595+F603</f>
        <v>95006.2</v>
      </c>
      <c r="G594" s="505">
        <f t="shared" si="108"/>
        <v>1232.5</v>
      </c>
      <c r="H594" s="505">
        <f t="shared" si="108"/>
        <v>96238.7</v>
      </c>
      <c r="I594" s="311">
        <f t="shared" si="108"/>
        <v>93927.400000000009</v>
      </c>
      <c r="J594" s="311">
        <f t="shared" si="108"/>
        <v>0</v>
      </c>
      <c r="K594" s="311">
        <f t="shared" si="108"/>
        <v>93927.400000000009</v>
      </c>
      <c r="L594" s="311">
        <f t="shared" si="108"/>
        <v>91023.6</v>
      </c>
      <c r="M594" s="311">
        <f t="shared" si="108"/>
        <v>0</v>
      </c>
      <c r="N594" s="311">
        <f t="shared" si="108"/>
        <v>91023.6</v>
      </c>
    </row>
    <row r="595" spans="1:14" ht="38.25" x14ac:dyDescent="0.25">
      <c r="A595" s="254"/>
      <c r="B595" s="34"/>
      <c r="C595" s="245" t="s">
        <v>60</v>
      </c>
      <c r="D595" s="34"/>
      <c r="E595" s="246" t="s">
        <v>79</v>
      </c>
      <c r="F595" s="494">
        <f t="shared" ref="F595:N595" si="109">F598+F596+F600</f>
        <v>94715.4</v>
      </c>
      <c r="G595" s="494">
        <f t="shared" si="109"/>
        <v>1232.5</v>
      </c>
      <c r="H595" s="494">
        <f t="shared" si="109"/>
        <v>95947.9</v>
      </c>
      <c r="I595" s="247">
        <f t="shared" si="109"/>
        <v>93636.6</v>
      </c>
      <c r="J595" s="247">
        <f t="shared" si="109"/>
        <v>0</v>
      </c>
      <c r="K595" s="247">
        <f t="shared" si="109"/>
        <v>93636.6</v>
      </c>
      <c r="L595" s="247">
        <f t="shared" si="109"/>
        <v>90732.800000000003</v>
      </c>
      <c r="M595" s="247">
        <f t="shared" si="109"/>
        <v>0</v>
      </c>
      <c r="N595" s="247">
        <f t="shared" si="109"/>
        <v>90732.800000000003</v>
      </c>
    </row>
    <row r="596" spans="1:14" ht="25.5" x14ac:dyDescent="0.25">
      <c r="A596" s="225"/>
      <c r="B596" s="7"/>
      <c r="C596" s="248" t="s">
        <v>70</v>
      </c>
      <c r="D596" s="27"/>
      <c r="E596" s="28" t="s">
        <v>71</v>
      </c>
      <c r="F596" s="472">
        <f>F597</f>
        <v>1147.0999999999999</v>
      </c>
      <c r="G596" s="472">
        <f>G597</f>
        <v>0</v>
      </c>
      <c r="H596" s="472">
        <f>H597</f>
        <v>1147.0999999999999</v>
      </c>
      <c r="I596" s="29">
        <f>I597</f>
        <v>0</v>
      </c>
      <c r="J596" s="29"/>
      <c r="K596" s="29">
        <f>K597</f>
        <v>0</v>
      </c>
      <c r="L596" s="29">
        <f>L597</f>
        <v>0</v>
      </c>
      <c r="M596" s="29"/>
      <c r="N596" s="29">
        <f>N597</f>
        <v>0</v>
      </c>
    </row>
    <row r="597" spans="1:14" ht="25.5" x14ac:dyDescent="0.25">
      <c r="A597" s="225"/>
      <c r="B597" s="7"/>
      <c r="C597" s="248"/>
      <c r="D597" s="27" t="s">
        <v>64</v>
      </c>
      <c r="E597" s="28" t="s">
        <v>65</v>
      </c>
      <c r="F597" s="472">
        <v>1147.0999999999999</v>
      </c>
      <c r="G597" s="472"/>
      <c r="H597" s="472">
        <f>SUM(F597:G597)</f>
        <v>1147.0999999999999</v>
      </c>
      <c r="I597" s="29">
        <v>0</v>
      </c>
      <c r="J597" s="29"/>
      <c r="K597" s="29">
        <v>0</v>
      </c>
      <c r="L597" s="29">
        <v>0</v>
      </c>
      <c r="M597" s="29"/>
      <c r="N597" s="29">
        <v>0</v>
      </c>
    </row>
    <row r="598" spans="1:14" ht="25.5" x14ac:dyDescent="0.25">
      <c r="A598" s="225"/>
      <c r="B598" s="27"/>
      <c r="C598" s="248" t="s">
        <v>62</v>
      </c>
      <c r="D598" s="7"/>
      <c r="E598" s="264" t="s">
        <v>913</v>
      </c>
      <c r="F598" s="472">
        <f>F599</f>
        <v>26822.5</v>
      </c>
      <c r="G598" s="472"/>
      <c r="H598" s="472">
        <f>H599</f>
        <v>26822.5</v>
      </c>
      <c r="I598" s="29">
        <f>I599</f>
        <v>26822.5</v>
      </c>
      <c r="J598" s="29"/>
      <c r="K598" s="29">
        <f>K599</f>
        <v>26822.5</v>
      </c>
      <c r="L598" s="29">
        <f>L599</f>
        <v>26822.5</v>
      </c>
      <c r="M598" s="29"/>
      <c r="N598" s="29">
        <f>N599</f>
        <v>26822.5</v>
      </c>
    </row>
    <row r="599" spans="1:14" ht="25.5" x14ac:dyDescent="0.25">
      <c r="A599" s="225"/>
      <c r="B599" s="27"/>
      <c r="C599" s="248"/>
      <c r="D599" s="27" t="s">
        <v>64</v>
      </c>
      <c r="E599" s="28" t="s">
        <v>65</v>
      </c>
      <c r="F599" s="472">
        <f>'Приложение 2'!$L$76</f>
        <v>26822.5</v>
      </c>
      <c r="G599" s="472"/>
      <c r="H599" s="472">
        <f>'Приложение 2'!$L$76</f>
        <v>26822.5</v>
      </c>
      <c r="I599" s="29">
        <f>'Приложение 2'!$L$76</f>
        <v>26822.5</v>
      </c>
      <c r="J599" s="29"/>
      <c r="K599" s="29">
        <f>'Приложение 2'!$L$76</f>
        <v>26822.5</v>
      </c>
      <c r="L599" s="29">
        <f>'Приложение 2'!$L$76</f>
        <v>26822.5</v>
      </c>
      <c r="M599" s="29"/>
      <c r="N599" s="29">
        <f>'Приложение 2'!$L$76</f>
        <v>26822.5</v>
      </c>
    </row>
    <row r="600" spans="1:14" ht="38.25" x14ac:dyDescent="0.25">
      <c r="A600" s="225"/>
      <c r="B600" s="27"/>
      <c r="C600" s="248" t="s">
        <v>66</v>
      </c>
      <c r="D600" s="27"/>
      <c r="E600" s="264" t="s">
        <v>914</v>
      </c>
      <c r="F600" s="472">
        <f t="shared" ref="F600:N600" si="110">F601+F602</f>
        <v>66745.8</v>
      </c>
      <c r="G600" s="473">
        <f t="shared" si="110"/>
        <v>1232.5</v>
      </c>
      <c r="H600" s="472">
        <f t="shared" si="110"/>
        <v>67978.3</v>
      </c>
      <c r="I600" s="29">
        <f t="shared" si="110"/>
        <v>66814.100000000006</v>
      </c>
      <c r="J600" s="29">
        <f t="shared" si="110"/>
        <v>0</v>
      </c>
      <c r="K600" s="29">
        <f t="shared" si="110"/>
        <v>66814.100000000006</v>
      </c>
      <c r="L600" s="29">
        <f t="shared" si="110"/>
        <v>63910.3</v>
      </c>
      <c r="M600" s="29">
        <f t="shared" si="110"/>
        <v>0</v>
      </c>
      <c r="N600" s="29">
        <f t="shared" si="110"/>
        <v>63910.3</v>
      </c>
    </row>
    <row r="601" spans="1:14" x14ac:dyDescent="0.25">
      <c r="A601" s="225"/>
      <c r="B601" s="27"/>
      <c r="C601" s="248"/>
      <c r="D601" s="27" t="s">
        <v>37</v>
      </c>
      <c r="E601" s="28" t="s">
        <v>38</v>
      </c>
      <c r="F601" s="472">
        <v>44.1</v>
      </c>
      <c r="G601" s="473"/>
      <c r="H601" s="472">
        <v>44.1</v>
      </c>
      <c r="I601" s="29">
        <v>44.1</v>
      </c>
      <c r="J601" s="29"/>
      <c r="K601" s="29">
        <v>44.1</v>
      </c>
      <c r="L601" s="29">
        <v>22</v>
      </c>
      <c r="M601" s="29"/>
      <c r="N601" s="29">
        <v>22</v>
      </c>
    </row>
    <row r="602" spans="1:14" ht="25.5" x14ac:dyDescent="0.25">
      <c r="A602" s="225"/>
      <c r="B602" s="27"/>
      <c r="C602" s="248"/>
      <c r="D602" s="27" t="s">
        <v>64</v>
      </c>
      <c r="E602" s="28" t="s">
        <v>65</v>
      </c>
      <c r="F602" s="469">
        <v>66701.7</v>
      </c>
      <c r="G602" s="470">
        <f>306.5+926</f>
        <v>1232.5</v>
      </c>
      <c r="H602" s="469">
        <f>SUM(F602:G602)</f>
        <v>67934.2</v>
      </c>
      <c r="I602" s="160">
        <v>66770</v>
      </c>
      <c r="J602" s="160"/>
      <c r="K602" s="160">
        <f>SUM(I602+J602)</f>
        <v>66770</v>
      </c>
      <c r="L602" s="160">
        <v>63888.3</v>
      </c>
      <c r="M602" s="160"/>
      <c r="N602" s="160">
        <f>SUM(L602+M602)</f>
        <v>63888.3</v>
      </c>
    </row>
    <row r="603" spans="1:14" ht="38.25" x14ac:dyDescent="0.25">
      <c r="A603" s="244"/>
      <c r="B603" s="255"/>
      <c r="C603" s="245" t="s">
        <v>72</v>
      </c>
      <c r="D603" s="34"/>
      <c r="E603" s="296" t="s">
        <v>73</v>
      </c>
      <c r="F603" s="494">
        <f t="shared" ref="F603:N604" si="111">F604</f>
        <v>290.8</v>
      </c>
      <c r="G603" s="494"/>
      <c r="H603" s="494">
        <f t="shared" si="111"/>
        <v>290.8</v>
      </c>
      <c r="I603" s="247">
        <f t="shared" si="111"/>
        <v>290.8</v>
      </c>
      <c r="J603" s="247"/>
      <c r="K603" s="247">
        <f t="shared" si="111"/>
        <v>290.8</v>
      </c>
      <c r="L603" s="247">
        <f t="shared" si="111"/>
        <v>290.8</v>
      </c>
      <c r="M603" s="247"/>
      <c r="N603" s="247">
        <f t="shared" si="111"/>
        <v>290.8</v>
      </c>
    </row>
    <row r="604" spans="1:14" x14ac:dyDescent="0.25">
      <c r="A604" s="229"/>
      <c r="B604" s="27"/>
      <c r="C604" s="248" t="s">
        <v>74</v>
      </c>
      <c r="D604" s="27"/>
      <c r="E604" s="28" t="s">
        <v>75</v>
      </c>
      <c r="F604" s="472">
        <f t="shared" si="111"/>
        <v>290.8</v>
      </c>
      <c r="G604" s="472"/>
      <c r="H604" s="472">
        <f t="shared" si="111"/>
        <v>290.8</v>
      </c>
      <c r="I604" s="29">
        <f t="shared" si="111"/>
        <v>290.8</v>
      </c>
      <c r="J604" s="29"/>
      <c r="K604" s="29">
        <f t="shared" si="111"/>
        <v>290.8</v>
      </c>
      <c r="L604" s="29">
        <f t="shared" si="111"/>
        <v>290.8</v>
      </c>
      <c r="M604" s="29"/>
      <c r="N604" s="29">
        <f t="shared" si="111"/>
        <v>290.8</v>
      </c>
    </row>
    <row r="605" spans="1:14" ht="25.5" x14ac:dyDescent="0.25">
      <c r="A605" s="225"/>
      <c r="B605" s="27"/>
      <c r="C605" s="248"/>
      <c r="D605" s="27" t="s">
        <v>64</v>
      </c>
      <c r="E605" s="28" t="s">
        <v>65</v>
      </c>
      <c r="F605" s="472">
        <v>290.8</v>
      </c>
      <c r="G605" s="472"/>
      <c r="H605" s="472">
        <v>290.8</v>
      </c>
      <c r="I605" s="29">
        <v>290.8</v>
      </c>
      <c r="J605" s="29"/>
      <c r="K605" s="29">
        <v>290.8</v>
      </c>
      <c r="L605" s="29">
        <v>290.8</v>
      </c>
      <c r="M605" s="29"/>
      <c r="N605" s="29">
        <v>290.8</v>
      </c>
    </row>
    <row r="606" spans="1:14" x14ac:dyDescent="0.25">
      <c r="A606" s="291"/>
      <c r="B606" s="329"/>
      <c r="C606" s="309" t="s">
        <v>125</v>
      </c>
      <c r="D606" s="308"/>
      <c r="E606" s="310" t="s">
        <v>126</v>
      </c>
      <c r="F606" s="505">
        <f t="shared" ref="F606:N608" si="112">F607</f>
        <v>921.1</v>
      </c>
      <c r="G606" s="505">
        <f t="shared" si="112"/>
        <v>0</v>
      </c>
      <c r="H606" s="505">
        <f t="shared" si="112"/>
        <v>921.1</v>
      </c>
      <c r="I606" s="311">
        <f t="shared" si="112"/>
        <v>1111.5999999999999</v>
      </c>
      <c r="J606" s="311">
        <f t="shared" si="112"/>
        <v>0</v>
      </c>
      <c r="K606" s="311">
        <f t="shared" si="112"/>
        <v>1111.5999999999999</v>
      </c>
      <c r="L606" s="311">
        <f t="shared" si="112"/>
        <v>1044.7</v>
      </c>
      <c r="M606" s="311">
        <f t="shared" si="112"/>
        <v>0</v>
      </c>
      <c r="N606" s="311">
        <f t="shared" si="112"/>
        <v>1044.7</v>
      </c>
    </row>
    <row r="607" spans="1:14" ht="25.5" x14ac:dyDescent="0.25">
      <c r="A607" s="254"/>
      <c r="B607" s="255"/>
      <c r="C607" s="245" t="s">
        <v>133</v>
      </c>
      <c r="D607" s="34"/>
      <c r="E607" s="296" t="s">
        <v>134</v>
      </c>
      <c r="F607" s="494">
        <f t="shared" si="112"/>
        <v>921.1</v>
      </c>
      <c r="G607" s="494">
        <f t="shared" si="112"/>
        <v>0</v>
      </c>
      <c r="H607" s="494">
        <f t="shared" si="112"/>
        <v>921.1</v>
      </c>
      <c r="I607" s="247">
        <f t="shared" si="112"/>
        <v>1111.5999999999999</v>
      </c>
      <c r="J607" s="247">
        <f t="shared" si="112"/>
        <v>0</v>
      </c>
      <c r="K607" s="247">
        <f t="shared" si="112"/>
        <v>1111.5999999999999</v>
      </c>
      <c r="L607" s="247">
        <f t="shared" si="112"/>
        <v>1044.7</v>
      </c>
      <c r="M607" s="247">
        <f t="shared" si="112"/>
        <v>0</v>
      </c>
      <c r="N607" s="247">
        <f t="shared" si="112"/>
        <v>1044.7</v>
      </c>
    </row>
    <row r="608" spans="1:14" ht="25.5" x14ac:dyDescent="0.25">
      <c r="A608" s="225"/>
      <c r="B608" s="27"/>
      <c r="C608" s="248" t="s">
        <v>135</v>
      </c>
      <c r="D608" s="27"/>
      <c r="E608" s="28" t="s">
        <v>915</v>
      </c>
      <c r="F608" s="472">
        <f t="shared" si="112"/>
        <v>921.1</v>
      </c>
      <c r="G608" s="472">
        <f>G609</f>
        <v>0</v>
      </c>
      <c r="H608" s="472">
        <f t="shared" si="112"/>
        <v>921.1</v>
      </c>
      <c r="I608" s="29">
        <f t="shared" si="112"/>
        <v>1111.5999999999999</v>
      </c>
      <c r="J608" s="29">
        <f>J609</f>
        <v>0</v>
      </c>
      <c r="K608" s="29">
        <f t="shared" si="112"/>
        <v>1111.5999999999999</v>
      </c>
      <c r="L608" s="29">
        <f t="shared" si="112"/>
        <v>1044.7</v>
      </c>
      <c r="M608" s="29">
        <f>M609</f>
        <v>0</v>
      </c>
      <c r="N608" s="29">
        <f t="shared" si="112"/>
        <v>1044.7</v>
      </c>
    </row>
    <row r="609" spans="1:17" ht="15.75" customHeight="1" x14ac:dyDescent="0.25">
      <c r="A609" s="225"/>
      <c r="B609" s="27"/>
      <c r="C609" s="248"/>
      <c r="D609" s="27" t="s">
        <v>64</v>
      </c>
      <c r="E609" s="28" t="s">
        <v>65</v>
      </c>
      <c r="F609" s="472">
        <v>921.1</v>
      </c>
      <c r="G609" s="472"/>
      <c r="H609" s="472">
        <f>SUM(F609:G609)</f>
        <v>921.1</v>
      </c>
      <c r="I609" s="29">
        <v>1111.5999999999999</v>
      </c>
      <c r="J609" s="29"/>
      <c r="K609" s="29">
        <f>SUM(I609:J609)</f>
        <v>1111.5999999999999</v>
      </c>
      <c r="L609" s="29">
        <v>1044.7</v>
      </c>
      <c r="M609" s="29"/>
      <c r="N609" s="29">
        <f>SUM(L609:M609)</f>
        <v>1044.7</v>
      </c>
      <c r="O609" s="43"/>
      <c r="P609" s="43"/>
      <c r="Q609" s="43"/>
    </row>
    <row r="610" spans="1:17" ht="25.5" x14ac:dyDescent="0.25">
      <c r="A610" s="291"/>
      <c r="B610" s="329"/>
      <c r="C610" s="309" t="s">
        <v>139</v>
      </c>
      <c r="D610" s="308"/>
      <c r="E610" s="310" t="s">
        <v>140</v>
      </c>
      <c r="F610" s="505">
        <f>F611</f>
        <v>5336.5</v>
      </c>
      <c r="G610" s="505">
        <f>G611</f>
        <v>0</v>
      </c>
      <c r="H610" s="505">
        <f>H611</f>
        <v>5336.5</v>
      </c>
      <c r="I610" s="311"/>
      <c r="J610" s="311"/>
      <c r="K610" s="311">
        <v>0</v>
      </c>
      <c r="L610" s="311"/>
      <c r="M610" s="311"/>
      <c r="N610" s="311">
        <v>0</v>
      </c>
      <c r="O610" s="43"/>
      <c r="P610" s="43"/>
      <c r="Q610" s="43"/>
    </row>
    <row r="611" spans="1:17" ht="38.25" x14ac:dyDescent="0.25">
      <c r="A611" s="254"/>
      <c r="B611" s="255"/>
      <c r="C611" s="245" t="s">
        <v>141</v>
      </c>
      <c r="D611" s="34"/>
      <c r="E611" s="296" t="s">
        <v>142</v>
      </c>
      <c r="F611" s="494">
        <f>F614+F617+F612</f>
        <v>5336.5</v>
      </c>
      <c r="G611" s="494">
        <f>G614+G617+G612</f>
        <v>0</v>
      </c>
      <c r="H611" s="494">
        <f>H614+H617+H612</f>
        <v>5336.5</v>
      </c>
      <c r="I611" s="247"/>
      <c r="J611" s="247"/>
      <c r="K611" s="247">
        <v>0</v>
      </c>
      <c r="L611" s="247"/>
      <c r="M611" s="247"/>
      <c r="N611" s="247">
        <v>0</v>
      </c>
      <c r="O611" s="43"/>
      <c r="P611" s="43"/>
      <c r="Q611" s="43"/>
    </row>
    <row r="612" spans="1:17" ht="51.75" customHeight="1" x14ac:dyDescent="0.25">
      <c r="A612" s="229"/>
      <c r="B612" s="27"/>
      <c r="C612" s="293" t="s">
        <v>721</v>
      </c>
      <c r="D612" s="46"/>
      <c r="E612" s="47" t="s">
        <v>1107</v>
      </c>
      <c r="F612" s="472">
        <f>F613</f>
        <v>807.3</v>
      </c>
      <c r="G612" s="472"/>
      <c r="H612" s="472">
        <f>H613</f>
        <v>807.3</v>
      </c>
      <c r="I612" s="29">
        <v>0</v>
      </c>
      <c r="J612" s="29"/>
      <c r="K612" s="29">
        <v>0</v>
      </c>
      <c r="L612" s="29">
        <v>0</v>
      </c>
      <c r="M612" s="29"/>
      <c r="N612" s="29">
        <v>0</v>
      </c>
    </row>
    <row r="613" spans="1:17" ht="30" customHeight="1" x14ac:dyDescent="0.25">
      <c r="A613" s="229"/>
      <c r="B613" s="27"/>
      <c r="C613" s="331"/>
      <c r="D613" s="46" t="s">
        <v>64</v>
      </c>
      <c r="E613" s="47" t="s">
        <v>65</v>
      </c>
      <c r="F613" s="472">
        <v>807.3</v>
      </c>
      <c r="G613" s="472"/>
      <c r="H613" s="472">
        <f>F613+G613</f>
        <v>807.3</v>
      </c>
      <c r="I613" s="29">
        <v>0</v>
      </c>
      <c r="J613" s="29"/>
      <c r="K613" s="29">
        <v>0</v>
      </c>
      <c r="L613" s="29">
        <v>0</v>
      </c>
      <c r="M613" s="29"/>
      <c r="N613" s="29">
        <v>0</v>
      </c>
    </row>
    <row r="614" spans="1:17" ht="25.5" x14ac:dyDescent="0.25">
      <c r="A614" s="225"/>
      <c r="B614" s="27"/>
      <c r="C614" s="46" t="s">
        <v>1089</v>
      </c>
      <c r="D614" s="46"/>
      <c r="E614" s="47" t="s">
        <v>1090</v>
      </c>
      <c r="F614" s="472">
        <f>F615</f>
        <v>1467.7</v>
      </c>
      <c r="G614" s="472">
        <f>SUM(G615)</f>
        <v>0</v>
      </c>
      <c r="H614" s="472">
        <f>H615</f>
        <v>1467.7</v>
      </c>
      <c r="I614" s="29"/>
      <c r="J614" s="29"/>
      <c r="K614" s="29">
        <v>0</v>
      </c>
      <c r="L614" s="29"/>
      <c r="M614" s="29"/>
      <c r="N614" s="29">
        <v>0</v>
      </c>
      <c r="O614" s="43"/>
      <c r="P614" s="43"/>
      <c r="Q614" s="43"/>
    </row>
    <row r="615" spans="1:17" ht="25.5" x14ac:dyDescent="0.25">
      <c r="A615" s="225"/>
      <c r="B615" s="27"/>
      <c r="C615" s="426"/>
      <c r="D615" s="46" t="s">
        <v>64</v>
      </c>
      <c r="E615" s="47" t="s">
        <v>65</v>
      </c>
      <c r="F615" s="472">
        <v>1467.7</v>
      </c>
      <c r="G615" s="472"/>
      <c r="H615" s="472">
        <f>SUM(F615:G615)</f>
        <v>1467.7</v>
      </c>
      <c r="I615" s="29"/>
      <c r="J615" s="29"/>
      <c r="K615" s="29">
        <v>0</v>
      </c>
      <c r="L615" s="29"/>
      <c r="M615" s="29"/>
      <c r="N615" s="29">
        <v>0</v>
      </c>
      <c r="O615" s="43"/>
      <c r="P615" s="43"/>
      <c r="Q615" s="43"/>
    </row>
    <row r="616" spans="1:17" ht="25.5" x14ac:dyDescent="0.25">
      <c r="A616" s="225"/>
      <c r="B616" s="27"/>
      <c r="C616" s="46" t="s">
        <v>1091</v>
      </c>
      <c r="D616" s="46"/>
      <c r="E616" s="47" t="s">
        <v>1108</v>
      </c>
      <c r="F616" s="472">
        <f>F617</f>
        <v>3061.5</v>
      </c>
      <c r="G616" s="472">
        <f>G617</f>
        <v>0</v>
      </c>
      <c r="H616" s="472">
        <f>H617</f>
        <v>3061.5</v>
      </c>
      <c r="I616" s="29"/>
      <c r="J616" s="29"/>
      <c r="K616" s="29">
        <v>0</v>
      </c>
      <c r="L616" s="29"/>
      <c r="M616" s="29"/>
      <c r="N616" s="29">
        <v>0</v>
      </c>
      <c r="O616" s="43"/>
      <c r="P616" s="43"/>
      <c r="Q616" s="43"/>
    </row>
    <row r="617" spans="1:17" ht="25.5" x14ac:dyDescent="0.25">
      <c r="A617" s="225"/>
      <c r="B617" s="27"/>
      <c r="C617" s="426"/>
      <c r="D617" s="46" t="s">
        <v>64</v>
      </c>
      <c r="E617" s="47" t="s">
        <v>65</v>
      </c>
      <c r="F617" s="472">
        <v>3061.5</v>
      </c>
      <c r="G617" s="472"/>
      <c r="H617" s="472">
        <f>SUM(F617:G617)</f>
        <v>3061.5</v>
      </c>
      <c r="I617" s="29"/>
      <c r="J617" s="29"/>
      <c r="K617" s="29">
        <v>0</v>
      </c>
      <c r="L617" s="29"/>
      <c r="M617" s="29"/>
      <c r="N617" s="29">
        <v>0</v>
      </c>
      <c r="O617" s="43"/>
      <c r="P617" s="43"/>
      <c r="Q617" s="43"/>
    </row>
    <row r="618" spans="1:17" ht="15.75" customHeight="1" x14ac:dyDescent="0.25">
      <c r="A618" s="225"/>
      <c r="B618" s="7" t="s">
        <v>890</v>
      </c>
      <c r="C618" s="230"/>
      <c r="D618" s="229"/>
      <c r="E618" s="231" t="s">
        <v>891</v>
      </c>
      <c r="F618" s="491">
        <f t="shared" ref="F618:N619" si="113">F619</f>
        <v>235972.09999999998</v>
      </c>
      <c r="G618" s="491">
        <f t="shared" si="113"/>
        <v>6500.3709999999992</v>
      </c>
      <c r="H618" s="491">
        <f t="shared" si="113"/>
        <v>242472.47099999996</v>
      </c>
      <c r="I618" s="232">
        <f t="shared" si="113"/>
        <v>228206.2</v>
      </c>
      <c r="J618" s="232">
        <f t="shared" si="113"/>
        <v>1102.3</v>
      </c>
      <c r="K618" s="232">
        <f t="shared" si="113"/>
        <v>229308.5</v>
      </c>
      <c r="L618" s="232">
        <f t="shared" si="113"/>
        <v>227019.4</v>
      </c>
      <c r="M618" s="232">
        <f t="shared" si="113"/>
        <v>0</v>
      </c>
      <c r="N618" s="232">
        <f t="shared" si="113"/>
        <v>227019.4</v>
      </c>
    </row>
    <row r="619" spans="1:17" ht="25.5" x14ac:dyDescent="0.25">
      <c r="A619" s="225"/>
      <c r="B619" s="7"/>
      <c r="C619" s="230" t="s">
        <v>9</v>
      </c>
      <c r="D619" s="229"/>
      <c r="E619" s="233" t="s">
        <v>10</v>
      </c>
      <c r="F619" s="491">
        <f t="shared" si="113"/>
        <v>235972.09999999998</v>
      </c>
      <c r="G619" s="491">
        <f t="shared" si="113"/>
        <v>6500.3709999999992</v>
      </c>
      <c r="H619" s="491">
        <f t="shared" si="113"/>
        <v>242472.47099999996</v>
      </c>
      <c r="I619" s="232">
        <f t="shared" si="113"/>
        <v>228206.2</v>
      </c>
      <c r="J619" s="232">
        <f t="shared" si="113"/>
        <v>1102.3</v>
      </c>
      <c r="K619" s="232">
        <f t="shared" si="113"/>
        <v>229308.5</v>
      </c>
      <c r="L619" s="232">
        <f t="shared" si="113"/>
        <v>227019.4</v>
      </c>
      <c r="M619" s="232">
        <f t="shared" si="113"/>
        <v>0</v>
      </c>
      <c r="N619" s="232">
        <f t="shared" si="113"/>
        <v>227019.4</v>
      </c>
    </row>
    <row r="620" spans="1:17" ht="25.5" x14ac:dyDescent="0.25">
      <c r="A620" s="260"/>
      <c r="B620" s="235"/>
      <c r="C620" s="236" t="s">
        <v>56</v>
      </c>
      <c r="D620" s="235"/>
      <c r="E620" s="237" t="s">
        <v>57</v>
      </c>
      <c r="F620" s="492">
        <f t="shared" ref="F620:N620" si="114">F621+F648+F653</f>
        <v>235972.09999999998</v>
      </c>
      <c r="G620" s="492">
        <f t="shared" si="114"/>
        <v>6500.3709999999992</v>
      </c>
      <c r="H620" s="492">
        <f t="shared" si="114"/>
        <v>242472.47099999996</v>
      </c>
      <c r="I620" s="238">
        <f t="shared" si="114"/>
        <v>228206.2</v>
      </c>
      <c r="J620" s="238">
        <f t="shared" si="114"/>
        <v>1102.3</v>
      </c>
      <c r="K620" s="238">
        <f t="shared" si="114"/>
        <v>229308.5</v>
      </c>
      <c r="L620" s="238">
        <f t="shared" si="114"/>
        <v>227019.4</v>
      </c>
      <c r="M620" s="238">
        <f t="shared" si="114"/>
        <v>0</v>
      </c>
      <c r="N620" s="238">
        <f t="shared" si="114"/>
        <v>227019.4</v>
      </c>
    </row>
    <row r="621" spans="1:17" x14ac:dyDescent="0.25">
      <c r="A621" s="291"/>
      <c r="B621" s="287"/>
      <c r="C621" s="288" t="s">
        <v>76</v>
      </c>
      <c r="D621" s="287"/>
      <c r="E621" s="295" t="s">
        <v>77</v>
      </c>
      <c r="F621" s="493">
        <f t="shared" ref="F621:N621" si="115">F622+F632</f>
        <v>223972.8</v>
      </c>
      <c r="G621" s="493">
        <f>G622+G632+G645</f>
        <v>6644.2699999999995</v>
      </c>
      <c r="H621" s="493">
        <f>H622+H632+H645</f>
        <v>230617.06999999998</v>
      </c>
      <c r="I621" s="290">
        <f t="shared" si="115"/>
        <v>223427.20000000001</v>
      </c>
      <c r="J621" s="290">
        <f t="shared" si="115"/>
        <v>0</v>
      </c>
      <c r="K621" s="290">
        <f t="shared" si="115"/>
        <v>223427.20000000001</v>
      </c>
      <c r="L621" s="290">
        <f t="shared" si="115"/>
        <v>222105.3</v>
      </c>
      <c r="M621" s="290">
        <f t="shared" si="115"/>
        <v>0</v>
      </c>
      <c r="N621" s="290">
        <f t="shared" si="115"/>
        <v>222105.3</v>
      </c>
    </row>
    <row r="622" spans="1:17" ht="38.25" x14ac:dyDescent="0.25">
      <c r="A622" s="254"/>
      <c r="B622" s="34"/>
      <c r="C622" s="245" t="s">
        <v>78</v>
      </c>
      <c r="D622" s="34"/>
      <c r="E622" s="246" t="s">
        <v>79</v>
      </c>
      <c r="F622" s="494">
        <f t="shared" ref="F622:N622" si="116">F623+F625+F628</f>
        <v>192920.5</v>
      </c>
      <c r="G622" s="494">
        <f t="shared" si="116"/>
        <v>6887.08</v>
      </c>
      <c r="H622" s="494">
        <f t="shared" si="116"/>
        <v>199807.58</v>
      </c>
      <c r="I622" s="247">
        <f t="shared" si="116"/>
        <v>193158.6</v>
      </c>
      <c r="J622" s="247">
        <f t="shared" si="116"/>
        <v>0</v>
      </c>
      <c r="K622" s="247">
        <f t="shared" si="116"/>
        <v>193158.6</v>
      </c>
      <c r="L622" s="247">
        <f t="shared" si="116"/>
        <v>192013.5</v>
      </c>
      <c r="M622" s="247">
        <f t="shared" si="116"/>
        <v>0</v>
      </c>
      <c r="N622" s="247">
        <f t="shared" si="116"/>
        <v>192013.5</v>
      </c>
    </row>
    <row r="623" spans="1:17" ht="25.5" x14ac:dyDescent="0.25">
      <c r="A623" s="225"/>
      <c r="B623" s="27"/>
      <c r="C623" s="248" t="s">
        <v>80</v>
      </c>
      <c r="D623" s="7"/>
      <c r="E623" s="264" t="s">
        <v>916</v>
      </c>
      <c r="F623" s="472">
        <f>F624</f>
        <v>28461.5</v>
      </c>
      <c r="G623" s="472"/>
      <c r="H623" s="472">
        <f>H624</f>
        <v>28461.5</v>
      </c>
      <c r="I623" s="29">
        <f>I624</f>
        <v>28461.5</v>
      </c>
      <c r="J623" s="29"/>
      <c r="K623" s="29">
        <f>K624</f>
        <v>28461.5</v>
      </c>
      <c r="L623" s="29">
        <f>L624</f>
        <v>28461.5</v>
      </c>
      <c r="M623" s="29"/>
      <c r="N623" s="29">
        <f>N624</f>
        <v>28461.5</v>
      </c>
    </row>
    <row r="624" spans="1:17" ht="25.5" x14ac:dyDescent="0.25">
      <c r="A624" s="225"/>
      <c r="B624" s="27"/>
      <c r="C624" s="248"/>
      <c r="D624" s="27" t="s">
        <v>64</v>
      </c>
      <c r="E624" s="28" t="s">
        <v>65</v>
      </c>
      <c r="F624" s="472">
        <v>28461.5</v>
      </c>
      <c r="G624" s="472"/>
      <c r="H624" s="472">
        <v>28461.5</v>
      </c>
      <c r="I624" s="29">
        <v>28461.5</v>
      </c>
      <c r="J624" s="29"/>
      <c r="K624" s="29">
        <v>28461.5</v>
      </c>
      <c r="L624" s="29">
        <v>28461.5</v>
      </c>
      <c r="M624" s="29"/>
      <c r="N624" s="29">
        <v>28461.5</v>
      </c>
    </row>
    <row r="625" spans="1:14" ht="51" x14ac:dyDescent="0.25">
      <c r="A625" s="225"/>
      <c r="B625" s="27"/>
      <c r="C625" s="248" t="s">
        <v>84</v>
      </c>
      <c r="D625" s="27"/>
      <c r="E625" s="28" t="s">
        <v>67</v>
      </c>
      <c r="F625" s="472">
        <f>F627</f>
        <v>160026.4</v>
      </c>
      <c r="G625" s="473">
        <f>G626</f>
        <v>6887.08</v>
      </c>
      <c r="H625" s="472">
        <f>H627</f>
        <v>166913.47999999998</v>
      </c>
      <c r="I625" s="29">
        <f>I627</f>
        <v>160264.5</v>
      </c>
      <c r="J625" s="29">
        <f>J626</f>
        <v>0</v>
      </c>
      <c r="K625" s="29">
        <f>K627</f>
        <v>160264.5</v>
      </c>
      <c r="L625" s="29">
        <f>L627</f>
        <v>159119.4</v>
      </c>
      <c r="M625" s="29">
        <f>M626</f>
        <v>0</v>
      </c>
      <c r="N625" s="29">
        <f>N627</f>
        <v>159119.4</v>
      </c>
    </row>
    <row r="626" spans="1:14" ht="25.5" x14ac:dyDescent="0.25">
      <c r="A626" s="225"/>
      <c r="B626" s="27"/>
      <c r="C626" s="248"/>
      <c r="D626" s="27" t="s">
        <v>64</v>
      </c>
      <c r="E626" s="28" t="s">
        <v>65</v>
      </c>
      <c r="F626" s="469">
        <v>160026.4</v>
      </c>
      <c r="G626" s="482">
        <f>5919.08+968</f>
        <v>6887.08</v>
      </c>
      <c r="H626" s="469">
        <f>SUM(F626:G626)</f>
        <v>166913.47999999998</v>
      </c>
      <c r="I626" s="160">
        <f>156991.4+1222.2</f>
        <v>158213.6</v>
      </c>
      <c r="J626" s="160">
        <f>J627</f>
        <v>0</v>
      </c>
      <c r="K626" s="160">
        <f>156991.4+1222.2</f>
        <v>158213.6</v>
      </c>
      <c r="L626" s="160">
        <f>155928+1214.6</f>
        <v>157142.6</v>
      </c>
      <c r="M626" s="160">
        <f>M627</f>
        <v>0</v>
      </c>
      <c r="N626" s="160">
        <f>155928+1214.6</f>
        <v>157142.6</v>
      </c>
    </row>
    <row r="627" spans="1:14" s="142" customFormat="1" ht="51" x14ac:dyDescent="0.25">
      <c r="A627" s="446"/>
      <c r="B627" s="192"/>
      <c r="C627" s="181"/>
      <c r="D627" s="192"/>
      <c r="E627" s="188" t="s">
        <v>67</v>
      </c>
      <c r="F627" s="469">
        <v>160026.4</v>
      </c>
      <c r="G627" s="479"/>
      <c r="H627" s="536">
        <f>H626</f>
        <v>166913.47999999998</v>
      </c>
      <c r="I627" s="208">
        <v>160264.5</v>
      </c>
      <c r="J627" s="208"/>
      <c r="K627" s="208">
        <f>SUM(I627:J627)</f>
        <v>160264.5</v>
      </c>
      <c r="L627" s="208">
        <v>159119.4</v>
      </c>
      <c r="M627" s="208"/>
      <c r="N627" s="208">
        <f>SUM(L627:M627)</f>
        <v>159119.4</v>
      </c>
    </row>
    <row r="628" spans="1:14" ht="63.75" x14ac:dyDescent="0.25">
      <c r="A628" s="225"/>
      <c r="B628" s="27"/>
      <c r="C628" s="248" t="s">
        <v>85</v>
      </c>
      <c r="D628" s="27"/>
      <c r="E628" s="28" t="s">
        <v>86</v>
      </c>
      <c r="F628" s="472">
        <f>F629</f>
        <v>4432.5999999999995</v>
      </c>
      <c r="G628" s="472"/>
      <c r="H628" s="472">
        <f>H629</f>
        <v>4432.5999999999995</v>
      </c>
      <c r="I628" s="29">
        <f>I629</f>
        <v>4432.5999999999995</v>
      </c>
      <c r="J628" s="29"/>
      <c r="K628" s="29">
        <f>K629</f>
        <v>4432.5999999999995</v>
      </c>
      <c r="L628" s="29">
        <f>L629</f>
        <v>4432.5999999999995</v>
      </c>
      <c r="M628" s="29"/>
      <c r="N628" s="29">
        <f>N629</f>
        <v>4432.5999999999995</v>
      </c>
    </row>
    <row r="629" spans="1:14" ht="25.5" x14ac:dyDescent="0.25">
      <c r="A629" s="225"/>
      <c r="B629" s="27"/>
      <c r="C629" s="248"/>
      <c r="D629" s="27" t="s">
        <v>64</v>
      </c>
      <c r="E629" s="28" t="s">
        <v>65</v>
      </c>
      <c r="F629" s="472">
        <f>F630+F631</f>
        <v>4432.5999999999995</v>
      </c>
      <c r="G629" s="472"/>
      <c r="H629" s="472">
        <f>H630+H631</f>
        <v>4432.5999999999995</v>
      </c>
      <c r="I629" s="29">
        <f>I630+I631</f>
        <v>4432.5999999999995</v>
      </c>
      <c r="J629" s="29"/>
      <c r="K629" s="29">
        <f>K630+K631</f>
        <v>4432.5999999999995</v>
      </c>
      <c r="L629" s="29">
        <f>L630+L631</f>
        <v>4432.5999999999995</v>
      </c>
      <c r="M629" s="29"/>
      <c r="N629" s="29">
        <f>N630+N631</f>
        <v>4432.5999999999995</v>
      </c>
    </row>
    <row r="630" spans="1:14" x14ac:dyDescent="0.25">
      <c r="A630" s="225"/>
      <c r="B630" s="27"/>
      <c r="C630" s="248"/>
      <c r="D630" s="27"/>
      <c r="E630" s="28" t="s">
        <v>87</v>
      </c>
      <c r="F630" s="472">
        <v>4100.2</v>
      </c>
      <c r="G630" s="472"/>
      <c r="H630" s="472">
        <v>4100.2</v>
      </c>
      <c r="I630" s="29">
        <v>4100.2</v>
      </c>
      <c r="J630" s="29"/>
      <c r="K630" s="29">
        <v>4100.2</v>
      </c>
      <c r="L630" s="29">
        <v>4100.2</v>
      </c>
      <c r="M630" s="29"/>
      <c r="N630" s="29">
        <v>4100.2</v>
      </c>
    </row>
    <row r="631" spans="1:14" x14ac:dyDescent="0.25">
      <c r="A631" s="225"/>
      <c r="B631" s="27"/>
      <c r="C631" s="248"/>
      <c r="D631" s="27"/>
      <c r="E631" s="28" t="s">
        <v>88</v>
      </c>
      <c r="F631" s="472">
        <v>332.4</v>
      </c>
      <c r="G631" s="472"/>
      <c r="H631" s="472">
        <v>332.4</v>
      </c>
      <c r="I631" s="29">
        <v>332.4</v>
      </c>
      <c r="J631" s="29"/>
      <c r="K631" s="29">
        <v>332.4</v>
      </c>
      <c r="L631" s="29">
        <v>332.4</v>
      </c>
      <c r="M631" s="29"/>
      <c r="N631" s="29">
        <v>332.4</v>
      </c>
    </row>
    <row r="632" spans="1:14" ht="38.25" x14ac:dyDescent="0.25">
      <c r="A632" s="254"/>
      <c r="B632" s="255"/>
      <c r="C632" s="245" t="s">
        <v>90</v>
      </c>
      <c r="D632" s="34"/>
      <c r="E632" s="246" t="s">
        <v>91</v>
      </c>
      <c r="F632" s="494">
        <f t="shared" ref="F632:N632" si="117">F633+F635+F637+F639+F642</f>
        <v>31052.300000000003</v>
      </c>
      <c r="G632" s="494">
        <f t="shared" si="117"/>
        <v>-380.14400000000001</v>
      </c>
      <c r="H632" s="494">
        <f t="shared" si="117"/>
        <v>30672.155999999999</v>
      </c>
      <c r="I632" s="247">
        <f t="shared" si="117"/>
        <v>30268.600000000002</v>
      </c>
      <c r="J632" s="247">
        <f t="shared" si="117"/>
        <v>0</v>
      </c>
      <c r="K632" s="247">
        <f t="shared" si="117"/>
        <v>30268.600000000002</v>
      </c>
      <c r="L632" s="247">
        <f t="shared" si="117"/>
        <v>30091.800000000003</v>
      </c>
      <c r="M632" s="247">
        <f t="shared" si="117"/>
        <v>0</v>
      </c>
      <c r="N632" s="247">
        <f t="shared" si="117"/>
        <v>30091.800000000003</v>
      </c>
    </row>
    <row r="633" spans="1:14" ht="25.5" x14ac:dyDescent="0.25">
      <c r="A633" s="225"/>
      <c r="B633" s="27"/>
      <c r="C633" s="248" t="s">
        <v>92</v>
      </c>
      <c r="D633" s="27"/>
      <c r="E633" s="28" t="s">
        <v>917</v>
      </c>
      <c r="F633" s="472">
        <f>F634</f>
        <v>5637.7</v>
      </c>
      <c r="G633" s="473">
        <f>G634</f>
        <v>177.4</v>
      </c>
      <c r="H633" s="472">
        <f>H634</f>
        <v>5815.0999999999995</v>
      </c>
      <c r="I633" s="29">
        <f>I634</f>
        <v>5637.7</v>
      </c>
      <c r="J633" s="29"/>
      <c r="K633" s="29">
        <f>K634</f>
        <v>5637.7</v>
      </c>
      <c r="L633" s="29">
        <f>L634</f>
        <v>5637.7</v>
      </c>
      <c r="M633" s="29"/>
      <c r="N633" s="29">
        <f>N634</f>
        <v>5637.7</v>
      </c>
    </row>
    <row r="634" spans="1:14" ht="25.5" x14ac:dyDescent="0.25">
      <c r="A634" s="225"/>
      <c r="B634" s="27"/>
      <c r="C634" s="248"/>
      <c r="D634" s="27" t="s">
        <v>64</v>
      </c>
      <c r="E634" s="28" t="s">
        <v>65</v>
      </c>
      <c r="F634" s="472">
        <v>5637.7</v>
      </c>
      <c r="G634" s="473">
        <v>177.4</v>
      </c>
      <c r="H634" s="472">
        <f>SUM(F634:G634)</f>
        <v>5815.0999999999995</v>
      </c>
      <c r="I634" s="29">
        <v>5637.7</v>
      </c>
      <c r="J634" s="29"/>
      <c r="K634" s="29">
        <v>5637.7</v>
      </c>
      <c r="L634" s="29">
        <v>5637.7</v>
      </c>
      <c r="M634" s="29"/>
      <c r="N634" s="29">
        <v>5637.7</v>
      </c>
    </row>
    <row r="635" spans="1:14" ht="25.5" x14ac:dyDescent="0.25">
      <c r="A635" s="225"/>
      <c r="B635" s="27"/>
      <c r="C635" s="248" t="s">
        <v>96</v>
      </c>
      <c r="D635" s="27"/>
      <c r="E635" s="28" t="s">
        <v>97</v>
      </c>
      <c r="F635" s="472">
        <f>F636</f>
        <v>288</v>
      </c>
      <c r="G635" s="473">
        <f>G636</f>
        <v>-13.8</v>
      </c>
      <c r="H635" s="472">
        <f>H636</f>
        <v>274.2</v>
      </c>
      <c r="I635" s="29">
        <f>I636</f>
        <v>288</v>
      </c>
      <c r="J635" s="29"/>
      <c r="K635" s="29">
        <f>K636</f>
        <v>288</v>
      </c>
      <c r="L635" s="29">
        <f>L636</f>
        <v>288</v>
      </c>
      <c r="M635" s="29"/>
      <c r="N635" s="29">
        <f>N636</f>
        <v>288</v>
      </c>
    </row>
    <row r="636" spans="1:14" ht="25.5" x14ac:dyDescent="0.25">
      <c r="A636" s="225"/>
      <c r="B636" s="27"/>
      <c r="C636" s="248"/>
      <c r="D636" s="27" t="s">
        <v>64</v>
      </c>
      <c r="E636" s="28" t="s">
        <v>65</v>
      </c>
      <c r="F636" s="472">
        <v>288</v>
      </c>
      <c r="G636" s="473">
        <v>-13.8</v>
      </c>
      <c r="H636" s="472">
        <f>SUM(F636:G636)</f>
        <v>274.2</v>
      </c>
      <c r="I636" s="29">
        <v>288</v>
      </c>
      <c r="J636" s="29"/>
      <c r="K636" s="29">
        <v>288</v>
      </c>
      <c r="L636" s="29">
        <v>288</v>
      </c>
      <c r="M636" s="29"/>
      <c r="N636" s="29">
        <v>288</v>
      </c>
    </row>
    <row r="637" spans="1:14" ht="25.5" x14ac:dyDescent="0.25">
      <c r="A637" s="225"/>
      <c r="B637" s="27"/>
      <c r="C637" s="248" t="s">
        <v>98</v>
      </c>
      <c r="D637" s="27"/>
      <c r="E637" s="28" t="s">
        <v>99</v>
      </c>
      <c r="F637" s="472">
        <f>F638</f>
        <v>271.60000000000002</v>
      </c>
      <c r="G637" s="473">
        <f>G638</f>
        <v>-80</v>
      </c>
      <c r="H637" s="472">
        <f>H638</f>
        <v>191.60000000000002</v>
      </c>
      <c r="I637" s="29">
        <f>I638</f>
        <v>271.60000000000002</v>
      </c>
      <c r="J637" s="29"/>
      <c r="K637" s="29">
        <f>K638</f>
        <v>271.60000000000002</v>
      </c>
      <c r="L637" s="29">
        <f>L638</f>
        <v>271.60000000000002</v>
      </c>
      <c r="M637" s="29"/>
      <c r="N637" s="29">
        <f>N638</f>
        <v>271.60000000000002</v>
      </c>
    </row>
    <row r="638" spans="1:14" ht="25.5" x14ac:dyDescent="0.25">
      <c r="A638" s="225"/>
      <c r="B638" s="27"/>
      <c r="C638" s="248"/>
      <c r="D638" s="27" t="s">
        <v>64</v>
      </c>
      <c r="E638" s="28" t="s">
        <v>65</v>
      </c>
      <c r="F638" s="472">
        <v>271.60000000000002</v>
      </c>
      <c r="G638" s="473">
        <v>-80</v>
      </c>
      <c r="H638" s="472">
        <f>SUM(F638:G638)</f>
        <v>191.60000000000002</v>
      </c>
      <c r="I638" s="29">
        <v>271.60000000000002</v>
      </c>
      <c r="J638" s="29"/>
      <c r="K638" s="29">
        <v>271.60000000000002</v>
      </c>
      <c r="L638" s="29">
        <v>271.60000000000002</v>
      </c>
      <c r="M638" s="29"/>
      <c r="N638" s="29">
        <v>271.60000000000002</v>
      </c>
    </row>
    <row r="639" spans="1:14" ht="38.25" x14ac:dyDescent="0.25">
      <c r="A639" s="225"/>
      <c r="B639" s="27"/>
      <c r="C639" s="248" t="s">
        <v>442</v>
      </c>
      <c r="D639" s="27"/>
      <c r="E639" s="28" t="s">
        <v>976</v>
      </c>
      <c r="F639" s="472">
        <f>F640</f>
        <v>12128.1</v>
      </c>
      <c r="G639" s="473"/>
      <c r="H639" s="472">
        <f>H640</f>
        <v>12128.1</v>
      </c>
      <c r="I639" s="29">
        <f>I640</f>
        <v>12128.1</v>
      </c>
      <c r="J639" s="29"/>
      <c r="K639" s="29">
        <f>K640</f>
        <v>12128.1</v>
      </c>
      <c r="L639" s="29">
        <f>L640</f>
        <v>12128.1</v>
      </c>
      <c r="M639" s="29"/>
      <c r="N639" s="29">
        <f>N640</f>
        <v>12128.1</v>
      </c>
    </row>
    <row r="640" spans="1:14" ht="25.5" x14ac:dyDescent="0.25">
      <c r="A640" s="225"/>
      <c r="B640" s="27"/>
      <c r="C640" s="248"/>
      <c r="D640" s="27" t="s">
        <v>64</v>
      </c>
      <c r="E640" s="28" t="s">
        <v>65</v>
      </c>
      <c r="F640" s="472">
        <v>12128.1</v>
      </c>
      <c r="G640" s="473"/>
      <c r="H640" s="472">
        <v>12128.1</v>
      </c>
      <c r="I640" s="29">
        <v>12128.1</v>
      </c>
      <c r="J640" s="29"/>
      <c r="K640" s="29">
        <v>12128.1</v>
      </c>
      <c r="L640" s="29">
        <f>L641</f>
        <v>12128.1</v>
      </c>
      <c r="M640" s="29"/>
      <c r="N640" s="29">
        <f>N641</f>
        <v>12128.1</v>
      </c>
    </row>
    <row r="641" spans="1:14" x14ac:dyDescent="0.25">
      <c r="A641" s="225"/>
      <c r="B641" s="27"/>
      <c r="C641" s="248"/>
      <c r="D641" s="27"/>
      <c r="E641" s="28" t="s">
        <v>89</v>
      </c>
      <c r="F641" s="472">
        <v>12128.1</v>
      </c>
      <c r="G641" s="473"/>
      <c r="H641" s="472">
        <v>12128.1</v>
      </c>
      <c r="I641" s="29">
        <v>12128.1</v>
      </c>
      <c r="J641" s="29"/>
      <c r="K641" s="29">
        <v>12128.1</v>
      </c>
      <c r="L641" s="29">
        <v>12128.1</v>
      </c>
      <c r="M641" s="29"/>
      <c r="N641" s="29">
        <v>12128.1</v>
      </c>
    </row>
    <row r="642" spans="1:14" ht="25.5" x14ac:dyDescent="0.25">
      <c r="A642" s="225"/>
      <c r="B642" s="27"/>
      <c r="C642" s="248" t="s">
        <v>443</v>
      </c>
      <c r="D642" s="27"/>
      <c r="E642" s="28" t="s">
        <v>977</v>
      </c>
      <c r="F642" s="472">
        <f t="shared" ref="F642:N643" si="118">F643</f>
        <v>12726.9</v>
      </c>
      <c r="G642" s="473">
        <f>G643</f>
        <v>-463.74399999999997</v>
      </c>
      <c r="H642" s="472">
        <f t="shared" si="118"/>
        <v>12263.155999999999</v>
      </c>
      <c r="I642" s="29">
        <f t="shared" si="118"/>
        <v>11943.2</v>
      </c>
      <c r="J642" s="29">
        <f>J643</f>
        <v>0</v>
      </c>
      <c r="K642" s="29">
        <f t="shared" si="118"/>
        <v>11943.2</v>
      </c>
      <c r="L642" s="29">
        <f t="shared" si="118"/>
        <v>11766.4</v>
      </c>
      <c r="M642" s="29">
        <f>M643</f>
        <v>0</v>
      </c>
      <c r="N642" s="29">
        <f t="shared" si="118"/>
        <v>11766.4</v>
      </c>
    </row>
    <row r="643" spans="1:14" ht="25.5" x14ac:dyDescent="0.25">
      <c r="A643" s="225"/>
      <c r="B643" s="27"/>
      <c r="C643" s="248"/>
      <c r="D643" s="27" t="s">
        <v>64</v>
      </c>
      <c r="E643" s="28" t="s">
        <v>65</v>
      </c>
      <c r="F643" s="472">
        <f t="shared" si="118"/>
        <v>12726.9</v>
      </c>
      <c r="G643" s="473">
        <f>G644</f>
        <v>-463.74399999999997</v>
      </c>
      <c r="H643" s="472">
        <f t="shared" si="118"/>
        <v>12263.155999999999</v>
      </c>
      <c r="I643" s="29">
        <f t="shared" si="118"/>
        <v>11943.2</v>
      </c>
      <c r="J643" s="29">
        <f>J644</f>
        <v>0</v>
      </c>
      <c r="K643" s="29">
        <f t="shared" si="118"/>
        <v>11943.2</v>
      </c>
      <c r="L643" s="29">
        <f t="shared" si="118"/>
        <v>11766.4</v>
      </c>
      <c r="M643" s="29">
        <f>M644</f>
        <v>0</v>
      </c>
      <c r="N643" s="29">
        <f t="shared" si="118"/>
        <v>11766.4</v>
      </c>
    </row>
    <row r="644" spans="1:14" x14ac:dyDescent="0.25">
      <c r="A644" s="225"/>
      <c r="B644" s="27"/>
      <c r="C644" s="248"/>
      <c r="D644" s="27"/>
      <c r="E644" s="28" t="s">
        <v>89</v>
      </c>
      <c r="F644" s="472">
        <v>12726.9</v>
      </c>
      <c r="G644" s="473">
        <f>-0.039-463.705</f>
        <v>-463.74399999999997</v>
      </c>
      <c r="H644" s="472">
        <f>SUM(F644:G644)</f>
        <v>12263.155999999999</v>
      </c>
      <c r="I644" s="29">
        <v>11943.2</v>
      </c>
      <c r="J644" s="29"/>
      <c r="K644" s="29">
        <f>SUM(I644:J644)</f>
        <v>11943.2</v>
      </c>
      <c r="L644" s="29">
        <v>11766.4</v>
      </c>
      <c r="M644" s="29"/>
      <c r="N644" s="29">
        <f>SUM(L644:M644)</f>
        <v>11766.4</v>
      </c>
    </row>
    <row r="645" spans="1:14" ht="38.25" x14ac:dyDescent="0.25">
      <c r="A645" s="254"/>
      <c r="B645" s="255"/>
      <c r="C645" s="245" t="s">
        <v>1217</v>
      </c>
      <c r="D645" s="34"/>
      <c r="E645" s="246" t="s">
        <v>1218</v>
      </c>
      <c r="F645" s="494">
        <f>F646</f>
        <v>0</v>
      </c>
      <c r="G645" s="494">
        <f>G646</f>
        <v>137.334</v>
      </c>
      <c r="H645" s="494">
        <f>H646</f>
        <v>137.334</v>
      </c>
      <c r="I645" s="247"/>
      <c r="J645" s="247"/>
      <c r="K645" s="247"/>
      <c r="L645" s="247"/>
      <c r="M645" s="247"/>
      <c r="N645" s="247"/>
    </row>
    <row r="646" spans="1:14" ht="39" x14ac:dyDescent="0.25">
      <c r="A646" s="225"/>
      <c r="B646" s="27"/>
      <c r="C646" s="520" t="s">
        <v>1240</v>
      </c>
      <c r="D646" s="520"/>
      <c r="E646" s="26" t="s">
        <v>1220</v>
      </c>
      <c r="F646" s="472">
        <v>0</v>
      </c>
      <c r="G646" s="473">
        <f>G647</f>
        <v>137.334</v>
      </c>
      <c r="H646" s="472">
        <f>H647</f>
        <v>137.334</v>
      </c>
      <c r="I646" s="29"/>
      <c r="J646" s="29"/>
      <c r="K646" s="29"/>
      <c r="L646" s="29"/>
      <c r="M646" s="29"/>
      <c r="N646" s="29"/>
    </row>
    <row r="647" spans="1:14" ht="26.25" x14ac:dyDescent="0.25">
      <c r="A647" s="225"/>
      <c r="B647" s="27"/>
      <c r="C647" s="520"/>
      <c r="D647" s="520" t="s">
        <v>64</v>
      </c>
      <c r="E647" s="159" t="s">
        <v>65</v>
      </c>
      <c r="F647" s="472">
        <v>0</v>
      </c>
      <c r="G647" s="473">
        <v>137.334</v>
      </c>
      <c r="H647" s="472">
        <v>137.334</v>
      </c>
      <c r="I647" s="29"/>
      <c r="J647" s="29"/>
      <c r="K647" s="29"/>
      <c r="L647" s="29"/>
      <c r="M647" s="29"/>
      <c r="N647" s="29"/>
    </row>
    <row r="648" spans="1:14" x14ac:dyDescent="0.25">
      <c r="A648" s="330"/>
      <c r="B648" s="269"/>
      <c r="C648" s="268" t="s">
        <v>125</v>
      </c>
      <c r="D648" s="267"/>
      <c r="E648" s="315" t="s">
        <v>126</v>
      </c>
      <c r="F648" s="504">
        <f t="shared" ref="F648:N651" si="119">F649</f>
        <v>4772</v>
      </c>
      <c r="G648" s="504">
        <f>G649</f>
        <v>-143.99100000000001</v>
      </c>
      <c r="H648" s="504">
        <f t="shared" si="119"/>
        <v>4628.009</v>
      </c>
      <c r="I648" s="271">
        <f t="shared" si="119"/>
        <v>4779</v>
      </c>
      <c r="J648" s="271">
        <f>J649</f>
        <v>0</v>
      </c>
      <c r="K648" s="271">
        <f t="shared" si="119"/>
        <v>4779</v>
      </c>
      <c r="L648" s="271">
        <f t="shared" si="119"/>
        <v>4914.1000000000004</v>
      </c>
      <c r="M648" s="271">
        <f>M649</f>
        <v>0</v>
      </c>
      <c r="N648" s="271">
        <f t="shared" si="119"/>
        <v>4914.1000000000004</v>
      </c>
    </row>
    <row r="649" spans="1:14" ht="25.5" x14ac:dyDescent="0.25">
      <c r="A649" s="254"/>
      <c r="B649" s="255"/>
      <c r="C649" s="245" t="s">
        <v>133</v>
      </c>
      <c r="D649" s="34"/>
      <c r="E649" s="296" t="s">
        <v>134</v>
      </c>
      <c r="F649" s="494">
        <f t="shared" si="119"/>
        <v>4772</v>
      </c>
      <c r="G649" s="494">
        <f>G650</f>
        <v>-143.99100000000001</v>
      </c>
      <c r="H649" s="494">
        <f t="shared" si="119"/>
        <v>4628.009</v>
      </c>
      <c r="I649" s="247">
        <f t="shared" si="119"/>
        <v>4779</v>
      </c>
      <c r="J649" s="247">
        <f>J650</f>
        <v>0</v>
      </c>
      <c r="K649" s="247">
        <f t="shared" si="119"/>
        <v>4779</v>
      </c>
      <c r="L649" s="247">
        <f t="shared" si="119"/>
        <v>4914.1000000000004</v>
      </c>
      <c r="M649" s="247">
        <f>M650</f>
        <v>0</v>
      </c>
      <c r="N649" s="247">
        <f t="shared" si="119"/>
        <v>4914.1000000000004</v>
      </c>
    </row>
    <row r="650" spans="1:14" ht="25.5" x14ac:dyDescent="0.25">
      <c r="A650" s="225"/>
      <c r="B650" s="27"/>
      <c r="C650" s="248" t="s">
        <v>918</v>
      </c>
      <c r="D650" s="7"/>
      <c r="E650" s="28" t="s">
        <v>919</v>
      </c>
      <c r="F650" s="491">
        <f t="shared" si="119"/>
        <v>4772</v>
      </c>
      <c r="G650" s="491">
        <f>G651</f>
        <v>-143.99100000000001</v>
      </c>
      <c r="H650" s="491">
        <f t="shared" si="119"/>
        <v>4628.009</v>
      </c>
      <c r="I650" s="232">
        <f t="shared" si="119"/>
        <v>4779</v>
      </c>
      <c r="J650" s="232">
        <f>J651</f>
        <v>0</v>
      </c>
      <c r="K650" s="232">
        <f t="shared" si="119"/>
        <v>4779</v>
      </c>
      <c r="L650" s="232">
        <f t="shared" si="119"/>
        <v>4914.1000000000004</v>
      </c>
      <c r="M650" s="232">
        <f>M651</f>
        <v>0</v>
      </c>
      <c r="N650" s="232">
        <f t="shared" si="119"/>
        <v>4914.1000000000004</v>
      </c>
    </row>
    <row r="651" spans="1:14" ht="25.5" x14ac:dyDescent="0.25">
      <c r="A651" s="225"/>
      <c r="B651" s="27"/>
      <c r="C651" s="248" t="s">
        <v>135</v>
      </c>
      <c r="D651" s="27"/>
      <c r="E651" s="28" t="s">
        <v>920</v>
      </c>
      <c r="F651" s="472">
        <f t="shared" si="119"/>
        <v>4772</v>
      </c>
      <c r="G651" s="473">
        <f>G652</f>
        <v>-143.99100000000001</v>
      </c>
      <c r="H651" s="472">
        <f t="shared" si="119"/>
        <v>4628.009</v>
      </c>
      <c r="I651" s="29">
        <f t="shared" si="119"/>
        <v>4779</v>
      </c>
      <c r="J651" s="29">
        <f>J652</f>
        <v>0</v>
      </c>
      <c r="K651" s="29">
        <f t="shared" si="119"/>
        <v>4779</v>
      </c>
      <c r="L651" s="29">
        <f t="shared" si="119"/>
        <v>4914.1000000000004</v>
      </c>
      <c r="M651" s="29">
        <f>M652</f>
        <v>0</v>
      </c>
      <c r="N651" s="29">
        <f t="shared" si="119"/>
        <v>4914.1000000000004</v>
      </c>
    </row>
    <row r="652" spans="1:14" ht="25.5" x14ac:dyDescent="0.25">
      <c r="A652" s="225"/>
      <c r="B652" s="27"/>
      <c r="C652" s="248"/>
      <c r="D652" s="27" t="s">
        <v>64</v>
      </c>
      <c r="E652" s="28" t="s">
        <v>65</v>
      </c>
      <c r="F652" s="472">
        <v>4772</v>
      </c>
      <c r="G652" s="473">
        <v>-143.99100000000001</v>
      </c>
      <c r="H652" s="472">
        <f>SUM(F652:G652)</f>
        <v>4628.009</v>
      </c>
      <c r="I652" s="29">
        <v>4779</v>
      </c>
      <c r="J652" s="29"/>
      <c r="K652" s="29">
        <f>SUM(I652:J652)</f>
        <v>4779</v>
      </c>
      <c r="L652" s="29">
        <v>4914.1000000000004</v>
      </c>
      <c r="M652" s="29"/>
      <c r="N652" s="29">
        <f>SUM(L652:M652)</f>
        <v>4914.1000000000004</v>
      </c>
    </row>
    <row r="653" spans="1:14" ht="25.5" x14ac:dyDescent="0.25">
      <c r="A653" s="330"/>
      <c r="B653" s="269"/>
      <c r="C653" s="268" t="s">
        <v>139</v>
      </c>
      <c r="D653" s="267"/>
      <c r="E653" s="306" t="s">
        <v>140</v>
      </c>
      <c r="F653" s="504">
        <f t="shared" ref="F653:K653" si="120">F654</f>
        <v>7227.3</v>
      </c>
      <c r="G653" s="504">
        <f t="shared" si="120"/>
        <v>9.1999999999999998E-2</v>
      </c>
      <c r="H653" s="504">
        <f t="shared" si="120"/>
        <v>7227.3919999999998</v>
      </c>
      <c r="I653" s="271">
        <f t="shared" si="120"/>
        <v>0</v>
      </c>
      <c r="J653" s="271">
        <f t="shared" si="120"/>
        <v>1102.3</v>
      </c>
      <c r="K653" s="271">
        <f t="shared" si="120"/>
        <v>1102.3</v>
      </c>
      <c r="L653" s="271">
        <f t="shared" ref="L653:L655" si="121">L654</f>
        <v>0</v>
      </c>
      <c r="M653" s="271"/>
      <c r="N653" s="271">
        <f>N654</f>
        <v>0</v>
      </c>
    </row>
    <row r="654" spans="1:14" ht="38.25" x14ac:dyDescent="0.25">
      <c r="A654" s="254"/>
      <c r="B654" s="255"/>
      <c r="C654" s="245" t="s">
        <v>141</v>
      </c>
      <c r="D654" s="34"/>
      <c r="E654" s="253" t="s">
        <v>142</v>
      </c>
      <c r="F654" s="494">
        <f>F655+F661+F659+F665+F667+F663</f>
        <v>7227.3</v>
      </c>
      <c r="G654" s="494">
        <f>G655+G661+G659+G665+G667+G663</f>
        <v>9.1999999999999998E-2</v>
      </c>
      <c r="H654" s="494">
        <f>H655+H661+H659+H665+H667+H663</f>
        <v>7227.3919999999998</v>
      </c>
      <c r="I654" s="247">
        <f>I655</f>
        <v>0</v>
      </c>
      <c r="J654" s="247">
        <f>J655+J661+J659+J665+J667</f>
        <v>1102.3</v>
      </c>
      <c r="K654" s="247">
        <f>K655+K661+K659+K665+K667</f>
        <v>1102.3</v>
      </c>
      <c r="L654" s="247">
        <f t="shared" si="121"/>
        <v>0</v>
      </c>
      <c r="M654" s="247"/>
      <c r="N654" s="247">
        <f>N655</f>
        <v>0</v>
      </c>
    </row>
    <row r="655" spans="1:14" ht="25.5" x14ac:dyDescent="0.25">
      <c r="A655" s="225"/>
      <c r="B655" s="27"/>
      <c r="C655" s="248" t="s">
        <v>143</v>
      </c>
      <c r="D655" s="27"/>
      <c r="E655" s="28" t="s">
        <v>144</v>
      </c>
      <c r="F655" s="472">
        <f>F656</f>
        <v>3414.1</v>
      </c>
      <c r="G655" s="473">
        <f>G656</f>
        <v>9.1999999999999998E-2</v>
      </c>
      <c r="H655" s="472">
        <f>H656</f>
        <v>3414.192</v>
      </c>
      <c r="I655" s="29">
        <f>I656</f>
        <v>0</v>
      </c>
      <c r="J655" s="29">
        <f>J656</f>
        <v>1102.3</v>
      </c>
      <c r="K655" s="29">
        <f>K656</f>
        <v>1102.3</v>
      </c>
      <c r="L655" s="29">
        <f t="shared" si="121"/>
        <v>0</v>
      </c>
      <c r="M655" s="29"/>
      <c r="N655" s="29">
        <f>N656</f>
        <v>0</v>
      </c>
    </row>
    <row r="656" spans="1:14" ht="25.5" x14ac:dyDescent="0.25">
      <c r="A656" s="225"/>
      <c r="B656" s="27"/>
      <c r="C656" s="248"/>
      <c r="D656" s="27" t="s">
        <v>64</v>
      </c>
      <c r="E656" s="30" t="s">
        <v>65</v>
      </c>
      <c r="F656" s="472">
        <f>F657+F658</f>
        <v>3414.1</v>
      </c>
      <c r="G656" s="473">
        <f>G657+G658</f>
        <v>9.1999999999999998E-2</v>
      </c>
      <c r="H656" s="472">
        <f>H657+H658</f>
        <v>3414.192</v>
      </c>
      <c r="I656" s="29">
        <v>0</v>
      </c>
      <c r="J656" s="29">
        <f>J657+J658</f>
        <v>1102.3</v>
      </c>
      <c r="K656" s="29">
        <f>K657+K658</f>
        <v>1102.3</v>
      </c>
      <c r="L656" s="29">
        <v>0</v>
      </c>
      <c r="M656" s="29"/>
      <c r="N656" s="29">
        <v>0</v>
      </c>
    </row>
    <row r="657" spans="1:17" ht="18.75" customHeight="1" x14ac:dyDescent="0.25">
      <c r="A657" s="7"/>
      <c r="B657" s="27"/>
      <c r="C657" s="248"/>
      <c r="D657" s="27"/>
      <c r="E657" s="28" t="s">
        <v>145</v>
      </c>
      <c r="F657" s="472">
        <v>2560.6</v>
      </c>
      <c r="G657" s="473">
        <v>4.3999999999999997E-2</v>
      </c>
      <c r="H657" s="472">
        <f>SUM(F657:G657)</f>
        <v>2560.6439999999998</v>
      </c>
      <c r="I657" s="29">
        <v>0</v>
      </c>
      <c r="J657" s="29"/>
      <c r="K657" s="29">
        <v>0</v>
      </c>
      <c r="L657" s="29">
        <v>0</v>
      </c>
      <c r="M657" s="29"/>
      <c r="N657" s="29">
        <v>0</v>
      </c>
    </row>
    <row r="658" spans="1:17" ht="17.25" customHeight="1" x14ac:dyDescent="0.25">
      <c r="A658" s="229"/>
      <c r="B658" s="27"/>
      <c r="C658" s="248"/>
      <c r="D658" s="27"/>
      <c r="E658" s="28" t="s">
        <v>146</v>
      </c>
      <c r="F658" s="472">
        <v>853.5</v>
      </c>
      <c r="G658" s="473">
        <v>4.8000000000000001E-2</v>
      </c>
      <c r="H658" s="472">
        <f>SUM(F658:G658)</f>
        <v>853.548</v>
      </c>
      <c r="I658" s="29">
        <v>0</v>
      </c>
      <c r="J658" s="29">
        <v>1102.3</v>
      </c>
      <c r="K658" s="29">
        <f>SUM(I658:J658)</f>
        <v>1102.3</v>
      </c>
      <c r="L658" s="29">
        <v>0</v>
      </c>
      <c r="M658" s="29"/>
      <c r="N658" s="29">
        <v>0</v>
      </c>
    </row>
    <row r="659" spans="1:17" ht="29.25" customHeight="1" x14ac:dyDescent="0.25">
      <c r="A659" s="229"/>
      <c r="B659" s="27"/>
      <c r="C659" s="46" t="s">
        <v>1087</v>
      </c>
      <c r="D659" s="46"/>
      <c r="E659" s="425" t="s">
        <v>1088</v>
      </c>
      <c r="F659" s="472">
        <f>F660</f>
        <v>624</v>
      </c>
      <c r="G659" s="473">
        <f>G660</f>
        <v>0</v>
      </c>
      <c r="H659" s="472">
        <f>H660</f>
        <v>624</v>
      </c>
      <c r="I659" s="29"/>
      <c r="J659" s="29"/>
      <c r="K659" s="29">
        <v>0</v>
      </c>
      <c r="L659" s="29"/>
      <c r="M659" s="29"/>
      <c r="N659" s="29">
        <v>0</v>
      </c>
    </row>
    <row r="660" spans="1:17" ht="17.25" customHeight="1" x14ac:dyDescent="0.25">
      <c r="A660" s="229"/>
      <c r="B660" s="27"/>
      <c r="C660" s="426"/>
      <c r="D660" s="46" t="s">
        <v>64</v>
      </c>
      <c r="E660" s="47" t="s">
        <v>65</v>
      </c>
      <c r="F660" s="472">
        <v>624</v>
      </c>
      <c r="G660" s="472"/>
      <c r="H660" s="472">
        <f>SUM(F660:G660)</f>
        <v>624</v>
      </c>
      <c r="I660" s="29"/>
      <c r="J660" s="29"/>
      <c r="K660" s="29">
        <v>0</v>
      </c>
      <c r="L660" s="29"/>
      <c r="M660" s="29"/>
      <c r="N660" s="29">
        <v>0</v>
      </c>
    </row>
    <row r="661" spans="1:17" ht="51.75" customHeight="1" x14ac:dyDescent="0.25">
      <c r="A661" s="229"/>
      <c r="B661" s="27"/>
      <c r="C661" s="293" t="s">
        <v>721</v>
      </c>
      <c r="D661" s="46"/>
      <c r="E661" s="47" t="s">
        <v>1107</v>
      </c>
      <c r="F661" s="472">
        <f>F662</f>
        <v>587.70000000000005</v>
      </c>
      <c r="G661" s="472">
        <f>G662</f>
        <v>0</v>
      </c>
      <c r="H661" s="472">
        <f>H662</f>
        <v>587.70000000000005</v>
      </c>
      <c r="I661" s="29">
        <v>0</v>
      </c>
      <c r="J661" s="29"/>
      <c r="K661" s="29">
        <v>0</v>
      </c>
      <c r="L661" s="29">
        <v>0</v>
      </c>
      <c r="M661" s="29"/>
      <c r="N661" s="29">
        <v>0</v>
      </c>
    </row>
    <row r="662" spans="1:17" ht="30" customHeight="1" x14ac:dyDescent="0.25">
      <c r="A662" s="229"/>
      <c r="B662" s="27"/>
      <c r="C662" s="331"/>
      <c r="D662" s="46" t="s">
        <v>64</v>
      </c>
      <c r="E662" s="47" t="s">
        <v>65</v>
      </c>
      <c r="F662" s="472">
        <v>587.70000000000005</v>
      </c>
      <c r="G662" s="472"/>
      <c r="H662" s="472">
        <f>F662+G662</f>
        <v>587.70000000000005</v>
      </c>
      <c r="I662" s="29">
        <v>0</v>
      </c>
      <c r="J662" s="29"/>
      <c r="K662" s="29">
        <v>0</v>
      </c>
      <c r="L662" s="29">
        <v>0</v>
      </c>
      <c r="M662" s="29"/>
      <c r="N662" s="29">
        <v>0</v>
      </c>
    </row>
    <row r="663" spans="1:17" ht="25.5" x14ac:dyDescent="0.25">
      <c r="A663" s="225"/>
      <c r="B663" s="27"/>
      <c r="C663" s="46" t="s">
        <v>1089</v>
      </c>
      <c r="D663" s="46"/>
      <c r="E663" s="47" t="s">
        <v>1090</v>
      </c>
      <c r="F663" s="472">
        <v>255.2</v>
      </c>
      <c r="G663" s="472">
        <f>SUM(G664)</f>
        <v>0</v>
      </c>
      <c r="H663" s="472">
        <f>H664</f>
        <v>255.2</v>
      </c>
      <c r="I663" s="29"/>
      <c r="J663" s="29"/>
      <c r="K663" s="29">
        <v>0</v>
      </c>
      <c r="L663" s="29"/>
      <c r="M663" s="29"/>
      <c r="N663" s="29">
        <v>0</v>
      </c>
      <c r="O663" s="43"/>
      <c r="P663" s="43"/>
      <c r="Q663" s="43"/>
    </row>
    <row r="664" spans="1:17" ht="25.5" x14ac:dyDescent="0.25">
      <c r="A664" s="225"/>
      <c r="B664" s="27"/>
      <c r="C664" s="426"/>
      <c r="D664" s="46" t="s">
        <v>64</v>
      </c>
      <c r="E664" s="47" t="s">
        <v>65</v>
      </c>
      <c r="F664" s="472">
        <v>255.2</v>
      </c>
      <c r="G664" s="472"/>
      <c r="H664" s="472">
        <f>SUM(F664:G664)</f>
        <v>255.2</v>
      </c>
      <c r="I664" s="29"/>
      <c r="J664" s="29"/>
      <c r="K664" s="29">
        <v>0</v>
      </c>
      <c r="L664" s="29"/>
      <c r="M664" s="29"/>
      <c r="N664" s="29">
        <v>0</v>
      </c>
      <c r="O664" s="43"/>
      <c r="P664" s="43"/>
      <c r="Q664" s="43"/>
    </row>
    <row r="665" spans="1:17" ht="25.5" x14ac:dyDescent="0.25">
      <c r="A665" s="225"/>
      <c r="B665" s="27"/>
      <c r="C665" s="46" t="s">
        <v>1091</v>
      </c>
      <c r="D665" s="46"/>
      <c r="E665" s="47" t="s">
        <v>1108</v>
      </c>
      <c r="F665" s="472">
        <v>1758.5</v>
      </c>
      <c r="G665" s="472">
        <f>G666</f>
        <v>0</v>
      </c>
      <c r="H665" s="472">
        <f>SUM(F665:G665)</f>
        <v>1758.5</v>
      </c>
      <c r="I665" s="29"/>
      <c r="J665" s="29"/>
      <c r="K665" s="29">
        <v>0</v>
      </c>
      <c r="L665" s="29"/>
      <c r="M665" s="29"/>
      <c r="N665" s="29">
        <v>0</v>
      </c>
      <c r="O665" s="43"/>
      <c r="P665" s="43"/>
      <c r="Q665" s="43"/>
    </row>
    <row r="666" spans="1:17" ht="25.5" x14ac:dyDescent="0.25">
      <c r="A666" s="225"/>
      <c r="B666" s="27"/>
      <c r="C666" s="426"/>
      <c r="D666" s="46" t="s">
        <v>64</v>
      </c>
      <c r="E666" s="47" t="s">
        <v>65</v>
      </c>
      <c r="F666" s="472">
        <v>1758.5</v>
      </c>
      <c r="G666" s="472"/>
      <c r="H666" s="472">
        <f>SUM(F666:G666)</f>
        <v>1758.5</v>
      </c>
      <c r="I666" s="29"/>
      <c r="J666" s="29"/>
      <c r="K666" s="29">
        <v>0</v>
      </c>
      <c r="L666" s="29"/>
      <c r="M666" s="29"/>
      <c r="N666" s="29">
        <v>0</v>
      </c>
      <c r="O666" s="43"/>
      <c r="P666" s="43"/>
      <c r="Q666" s="43"/>
    </row>
    <row r="667" spans="1:17" ht="38.25" x14ac:dyDescent="0.25">
      <c r="A667" s="225"/>
      <c r="B667" s="27"/>
      <c r="C667" s="32" t="s">
        <v>1170</v>
      </c>
      <c r="D667" s="46"/>
      <c r="E667" s="30" t="s">
        <v>1171</v>
      </c>
      <c r="F667" s="472">
        <v>587.79999999999995</v>
      </c>
      <c r="G667" s="472"/>
      <c r="H667" s="472">
        <v>587.79999999999995</v>
      </c>
      <c r="I667" s="29"/>
      <c r="J667" s="29"/>
      <c r="K667" s="29">
        <v>0</v>
      </c>
      <c r="L667" s="29"/>
      <c r="M667" s="29"/>
      <c r="N667" s="29">
        <v>0</v>
      </c>
      <c r="O667" s="43"/>
      <c r="P667" s="43"/>
      <c r="Q667" s="43"/>
    </row>
    <row r="668" spans="1:17" ht="25.5" x14ac:dyDescent="0.25">
      <c r="A668" s="225"/>
      <c r="B668" s="27"/>
      <c r="C668" s="426"/>
      <c r="D668" s="46" t="s">
        <v>64</v>
      </c>
      <c r="E668" s="47" t="s">
        <v>65</v>
      </c>
      <c r="F668" s="472">
        <v>587.79999999999995</v>
      </c>
      <c r="G668" s="472"/>
      <c r="H668" s="472">
        <v>587.79999999999995</v>
      </c>
      <c r="I668" s="29"/>
      <c r="J668" s="29"/>
      <c r="K668" s="29">
        <v>0</v>
      </c>
      <c r="L668" s="29"/>
      <c r="M668" s="29"/>
      <c r="N668" s="29">
        <v>0</v>
      </c>
      <c r="O668" s="43"/>
      <c r="P668" s="43"/>
      <c r="Q668" s="43"/>
    </row>
    <row r="669" spans="1:17" x14ac:dyDescent="0.25">
      <c r="A669" s="225"/>
      <c r="B669" s="7" t="s">
        <v>921</v>
      </c>
      <c r="C669" s="230"/>
      <c r="D669" s="7"/>
      <c r="E669" s="233" t="s">
        <v>922</v>
      </c>
      <c r="F669" s="491">
        <f t="shared" ref="F669:N672" si="122">F670</f>
        <v>28924.799999999999</v>
      </c>
      <c r="G669" s="491">
        <f t="shared" si="122"/>
        <v>0</v>
      </c>
      <c r="H669" s="491">
        <f t="shared" si="122"/>
        <v>28924.799999999999</v>
      </c>
      <c r="I669" s="232">
        <f t="shared" si="122"/>
        <v>27907.3</v>
      </c>
      <c r="J669" s="232"/>
      <c r="K669" s="232">
        <f t="shared" si="122"/>
        <v>27907.3</v>
      </c>
      <c r="L669" s="232">
        <f t="shared" si="122"/>
        <v>27907.3</v>
      </c>
      <c r="M669" s="232"/>
      <c r="N669" s="232">
        <f t="shared" si="122"/>
        <v>27907.3</v>
      </c>
    </row>
    <row r="670" spans="1:17" ht="25.5" x14ac:dyDescent="0.25">
      <c r="A670" s="225"/>
      <c r="B670" s="7"/>
      <c r="C670" s="230" t="s">
        <v>9</v>
      </c>
      <c r="D670" s="229"/>
      <c r="E670" s="233" t="s">
        <v>10</v>
      </c>
      <c r="F670" s="491">
        <f t="shared" si="122"/>
        <v>28924.799999999999</v>
      </c>
      <c r="G670" s="491">
        <f t="shared" si="122"/>
        <v>0</v>
      </c>
      <c r="H670" s="491">
        <f t="shared" si="122"/>
        <v>28924.799999999999</v>
      </c>
      <c r="I670" s="232">
        <f t="shared" si="122"/>
        <v>27907.3</v>
      </c>
      <c r="J670" s="232"/>
      <c r="K670" s="232">
        <f t="shared" si="122"/>
        <v>27907.3</v>
      </c>
      <c r="L670" s="232">
        <f t="shared" si="122"/>
        <v>27907.3</v>
      </c>
      <c r="M670" s="232"/>
      <c r="N670" s="232">
        <f t="shared" si="122"/>
        <v>27907.3</v>
      </c>
    </row>
    <row r="671" spans="1:17" ht="25.5" x14ac:dyDescent="0.25">
      <c r="A671" s="260"/>
      <c r="B671" s="235"/>
      <c r="C671" s="236" t="s">
        <v>56</v>
      </c>
      <c r="D671" s="235"/>
      <c r="E671" s="237" t="s">
        <v>57</v>
      </c>
      <c r="F671" s="492">
        <f t="shared" si="122"/>
        <v>28924.799999999999</v>
      </c>
      <c r="G671" s="492">
        <f t="shared" si="122"/>
        <v>0</v>
      </c>
      <c r="H671" s="492">
        <f t="shared" si="122"/>
        <v>28924.799999999999</v>
      </c>
      <c r="I671" s="238">
        <f t="shared" si="122"/>
        <v>27907.3</v>
      </c>
      <c r="J671" s="238"/>
      <c r="K671" s="238">
        <f t="shared" si="122"/>
        <v>27907.3</v>
      </c>
      <c r="L671" s="238">
        <f t="shared" si="122"/>
        <v>27907.3</v>
      </c>
      <c r="M671" s="238"/>
      <c r="N671" s="238">
        <f t="shared" si="122"/>
        <v>27907.3</v>
      </c>
    </row>
    <row r="672" spans="1:17" x14ac:dyDescent="0.25">
      <c r="A672" s="332"/>
      <c r="B672" s="287"/>
      <c r="C672" s="288" t="s">
        <v>103</v>
      </c>
      <c r="D672" s="287"/>
      <c r="E672" s="295" t="s">
        <v>104</v>
      </c>
      <c r="F672" s="493">
        <f t="shared" si="122"/>
        <v>28924.799999999999</v>
      </c>
      <c r="G672" s="493">
        <f t="shared" si="122"/>
        <v>0</v>
      </c>
      <c r="H672" s="493">
        <f t="shared" si="122"/>
        <v>28924.799999999999</v>
      </c>
      <c r="I672" s="290">
        <f t="shared" si="122"/>
        <v>27907.3</v>
      </c>
      <c r="J672" s="290"/>
      <c r="K672" s="290">
        <f t="shared" si="122"/>
        <v>27907.3</v>
      </c>
      <c r="L672" s="290">
        <f t="shared" si="122"/>
        <v>27907.3</v>
      </c>
      <c r="M672" s="290"/>
      <c r="N672" s="290">
        <f t="shared" si="122"/>
        <v>27907.3</v>
      </c>
    </row>
    <row r="673" spans="1:14" ht="25.5" x14ac:dyDescent="0.25">
      <c r="A673" s="254"/>
      <c r="B673" s="34"/>
      <c r="C673" s="245" t="s">
        <v>105</v>
      </c>
      <c r="D673" s="34"/>
      <c r="E673" s="246" t="s">
        <v>106</v>
      </c>
      <c r="F673" s="494">
        <f>F674+F676</f>
        <v>28924.799999999999</v>
      </c>
      <c r="G673" s="494">
        <f>G674+G676</f>
        <v>0</v>
      </c>
      <c r="H673" s="494">
        <f>H674+H676</f>
        <v>28924.799999999999</v>
      </c>
      <c r="I673" s="247">
        <f>I674+I676</f>
        <v>27907.3</v>
      </c>
      <c r="J673" s="247"/>
      <c r="K673" s="247">
        <f>K674+K676</f>
        <v>27907.3</v>
      </c>
      <c r="L673" s="247">
        <f>L674+L676</f>
        <v>27907.3</v>
      </c>
      <c r="M673" s="247"/>
      <c r="N673" s="247">
        <f>N674+N676</f>
        <v>27907.3</v>
      </c>
    </row>
    <row r="674" spans="1:14" ht="25.5" x14ac:dyDescent="0.25">
      <c r="A674" s="225"/>
      <c r="B674" s="27"/>
      <c r="C674" s="248" t="s">
        <v>107</v>
      </c>
      <c r="D674" s="7"/>
      <c r="E674" s="264" t="s">
        <v>108</v>
      </c>
      <c r="F674" s="472">
        <f>F675</f>
        <v>17951.3</v>
      </c>
      <c r="G674" s="472">
        <f>G675</f>
        <v>0</v>
      </c>
      <c r="H674" s="472">
        <f>H675</f>
        <v>17951.3</v>
      </c>
      <c r="I674" s="29">
        <f>I675</f>
        <v>17666.599999999999</v>
      </c>
      <c r="J674" s="29"/>
      <c r="K674" s="29">
        <f>K675</f>
        <v>17666.599999999999</v>
      </c>
      <c r="L674" s="29">
        <f>L675</f>
        <v>17666.599999999999</v>
      </c>
      <c r="M674" s="29"/>
      <c r="N674" s="29">
        <f>N675</f>
        <v>17666.599999999999</v>
      </c>
    </row>
    <row r="675" spans="1:14" ht="25.5" x14ac:dyDescent="0.25">
      <c r="A675" s="225"/>
      <c r="B675" s="27"/>
      <c r="C675" s="248"/>
      <c r="D675" s="27" t="s">
        <v>64</v>
      </c>
      <c r="E675" s="28" t="s">
        <v>65</v>
      </c>
      <c r="F675" s="472">
        <v>17951.3</v>
      </c>
      <c r="G675" s="472"/>
      <c r="H675" s="472">
        <f>SUM(F675:G675)</f>
        <v>17951.3</v>
      </c>
      <c r="I675" s="29">
        <f t="shared" ref="I675:N675" si="123">18449.3-782.7</f>
        <v>17666.599999999999</v>
      </c>
      <c r="J675" s="29"/>
      <c r="K675" s="29">
        <f t="shared" si="123"/>
        <v>17666.599999999999</v>
      </c>
      <c r="L675" s="29">
        <f t="shared" si="123"/>
        <v>17666.599999999999</v>
      </c>
      <c r="M675" s="29"/>
      <c r="N675" s="29">
        <f t="shared" si="123"/>
        <v>17666.599999999999</v>
      </c>
    </row>
    <row r="676" spans="1:14" ht="25.5" x14ac:dyDescent="0.25">
      <c r="A676" s="229"/>
      <c r="B676" s="7"/>
      <c r="C676" s="248" t="s">
        <v>109</v>
      </c>
      <c r="D676" s="7"/>
      <c r="E676" s="28" t="s">
        <v>923</v>
      </c>
      <c r="F676" s="472">
        <f>F677</f>
        <v>10973.5</v>
      </c>
      <c r="G676" s="472">
        <f>G677</f>
        <v>0</v>
      </c>
      <c r="H676" s="472">
        <f>H677</f>
        <v>10973.5</v>
      </c>
      <c r="I676" s="29">
        <f>I677</f>
        <v>10240.700000000001</v>
      </c>
      <c r="J676" s="29"/>
      <c r="K676" s="29">
        <f>K677</f>
        <v>10240.700000000001</v>
      </c>
      <c r="L676" s="29">
        <f>L677</f>
        <v>10240.700000000001</v>
      </c>
      <c r="M676" s="29"/>
      <c r="N676" s="29">
        <f>N677</f>
        <v>10240.700000000001</v>
      </c>
    </row>
    <row r="677" spans="1:14" ht="25.5" x14ac:dyDescent="0.25">
      <c r="A677" s="229"/>
      <c r="B677" s="27"/>
      <c r="C677" s="248"/>
      <c r="D677" s="27" t="s">
        <v>64</v>
      </c>
      <c r="E677" s="28" t="s">
        <v>65</v>
      </c>
      <c r="F677" s="472">
        <v>10973.5</v>
      </c>
      <c r="G677" s="472"/>
      <c r="H677" s="472">
        <f>SUM(F677:G677)</f>
        <v>10973.5</v>
      </c>
      <c r="I677" s="29">
        <f t="shared" ref="I677:N677" si="124">10533.5-292.8</f>
        <v>10240.700000000001</v>
      </c>
      <c r="J677" s="29"/>
      <c r="K677" s="29">
        <f t="shared" si="124"/>
        <v>10240.700000000001</v>
      </c>
      <c r="L677" s="29">
        <f t="shared" si="124"/>
        <v>10240.700000000001</v>
      </c>
      <c r="M677" s="29"/>
      <c r="N677" s="29">
        <f t="shared" si="124"/>
        <v>10240.700000000001</v>
      </c>
    </row>
    <row r="678" spans="1:14" x14ac:dyDescent="0.25">
      <c r="A678" s="225"/>
      <c r="B678" s="7" t="s">
        <v>924</v>
      </c>
      <c r="C678" s="230"/>
      <c r="D678" s="7"/>
      <c r="E678" s="233" t="s">
        <v>925</v>
      </c>
      <c r="F678" s="502">
        <f t="shared" ref="F678:N678" si="125">F679</f>
        <v>5776.3</v>
      </c>
      <c r="G678" s="502">
        <f t="shared" si="125"/>
        <v>-83.6</v>
      </c>
      <c r="H678" s="502">
        <f t="shared" si="125"/>
        <v>5692.7</v>
      </c>
      <c r="I678" s="297">
        <f t="shared" si="125"/>
        <v>5775.6</v>
      </c>
      <c r="J678" s="297">
        <f t="shared" si="125"/>
        <v>0</v>
      </c>
      <c r="K678" s="297">
        <f t="shared" si="125"/>
        <v>5775.6</v>
      </c>
      <c r="L678" s="297">
        <f t="shared" si="125"/>
        <v>5775.6</v>
      </c>
      <c r="M678" s="297">
        <f t="shared" si="125"/>
        <v>0</v>
      </c>
      <c r="N678" s="297">
        <f t="shared" si="125"/>
        <v>5775.6</v>
      </c>
    </row>
    <row r="679" spans="1:14" x14ac:dyDescent="0.25">
      <c r="A679" s="225"/>
      <c r="B679" s="7"/>
      <c r="C679" s="230" t="s">
        <v>926</v>
      </c>
      <c r="D679" s="7"/>
      <c r="E679" s="30" t="s">
        <v>848</v>
      </c>
      <c r="F679" s="491">
        <f>F680</f>
        <v>5776.3</v>
      </c>
      <c r="G679" s="491">
        <f>G680</f>
        <v>-83.6</v>
      </c>
      <c r="H679" s="491">
        <f>H680</f>
        <v>5692.7</v>
      </c>
      <c r="I679" s="232">
        <f t="shared" ref="I679:N679" si="126">I680</f>
        <v>5775.6</v>
      </c>
      <c r="J679" s="232">
        <f t="shared" si="126"/>
        <v>0</v>
      </c>
      <c r="K679" s="232">
        <f t="shared" si="126"/>
        <v>5775.6</v>
      </c>
      <c r="L679" s="232">
        <f t="shared" si="126"/>
        <v>5775.6</v>
      </c>
      <c r="M679" s="232">
        <f t="shared" si="126"/>
        <v>0</v>
      </c>
      <c r="N679" s="232">
        <f t="shared" si="126"/>
        <v>5775.6</v>
      </c>
    </row>
    <row r="680" spans="1:14" ht="25.5" x14ac:dyDescent="0.25">
      <c r="A680" s="260"/>
      <c r="B680" s="235"/>
      <c r="C680" s="236" t="s">
        <v>56</v>
      </c>
      <c r="D680" s="235"/>
      <c r="E680" s="237" t="s">
        <v>57</v>
      </c>
      <c r="F680" s="492">
        <f t="shared" ref="F680:N681" si="127">F681</f>
        <v>5776.3</v>
      </c>
      <c r="G680" s="492">
        <f t="shared" si="127"/>
        <v>-83.6</v>
      </c>
      <c r="H680" s="492">
        <f t="shared" si="127"/>
        <v>5692.7</v>
      </c>
      <c r="I680" s="238">
        <f t="shared" si="127"/>
        <v>5775.6</v>
      </c>
      <c r="J680" s="238">
        <f t="shared" si="127"/>
        <v>0</v>
      </c>
      <c r="K680" s="238">
        <f t="shared" si="127"/>
        <v>5775.6</v>
      </c>
      <c r="L680" s="238">
        <f t="shared" si="127"/>
        <v>5775.6</v>
      </c>
      <c r="M680" s="238">
        <f t="shared" si="127"/>
        <v>0</v>
      </c>
      <c r="N680" s="238">
        <f t="shared" si="127"/>
        <v>5775.6</v>
      </c>
    </row>
    <row r="681" spans="1:14" x14ac:dyDescent="0.25">
      <c r="A681" s="294"/>
      <c r="B681" s="287"/>
      <c r="C681" s="288" t="s">
        <v>117</v>
      </c>
      <c r="D681" s="287"/>
      <c r="E681" s="295" t="s">
        <v>118</v>
      </c>
      <c r="F681" s="493">
        <f t="shared" si="127"/>
        <v>5776.3</v>
      </c>
      <c r="G681" s="493">
        <f t="shared" si="127"/>
        <v>-83.6</v>
      </c>
      <c r="H681" s="493">
        <f t="shared" si="127"/>
        <v>5692.7</v>
      </c>
      <c r="I681" s="290">
        <f t="shared" si="127"/>
        <v>5775.6</v>
      </c>
      <c r="J681" s="290">
        <f t="shared" si="127"/>
        <v>0</v>
      </c>
      <c r="K681" s="290">
        <f t="shared" si="127"/>
        <v>5775.6</v>
      </c>
      <c r="L681" s="290">
        <f t="shared" si="127"/>
        <v>5775.6</v>
      </c>
      <c r="M681" s="290">
        <f t="shared" si="127"/>
        <v>0</v>
      </c>
      <c r="N681" s="290">
        <f t="shared" si="127"/>
        <v>5775.6</v>
      </c>
    </row>
    <row r="682" spans="1:14" ht="25.5" x14ac:dyDescent="0.25">
      <c r="A682" s="244"/>
      <c r="B682" s="34"/>
      <c r="C682" s="245" t="s">
        <v>119</v>
      </c>
      <c r="D682" s="34"/>
      <c r="E682" s="246" t="s">
        <v>120</v>
      </c>
      <c r="F682" s="494">
        <f>F687+F683+F685</f>
        <v>5776.3</v>
      </c>
      <c r="G682" s="494">
        <f t="shared" ref="G682:N682" si="128">G687+G683+G685</f>
        <v>-83.6</v>
      </c>
      <c r="H682" s="494">
        <f t="shared" si="128"/>
        <v>5692.7</v>
      </c>
      <c r="I682" s="247">
        <f>I687+I683+I685</f>
        <v>5775.6</v>
      </c>
      <c r="J682" s="247">
        <f t="shared" si="128"/>
        <v>0</v>
      </c>
      <c r="K682" s="247">
        <f t="shared" si="128"/>
        <v>5775.6</v>
      </c>
      <c r="L682" s="247">
        <f t="shared" si="128"/>
        <v>5775.6</v>
      </c>
      <c r="M682" s="247">
        <f t="shared" si="128"/>
        <v>0</v>
      </c>
      <c r="N682" s="247">
        <f t="shared" si="128"/>
        <v>5775.6</v>
      </c>
    </row>
    <row r="683" spans="1:14" ht="26.25" x14ac:dyDescent="0.25">
      <c r="A683" s="225"/>
      <c r="B683" s="27"/>
      <c r="C683" s="248" t="s">
        <v>775</v>
      </c>
      <c r="D683" s="27"/>
      <c r="E683" s="159" t="s">
        <v>1147</v>
      </c>
      <c r="F683" s="472">
        <f>F684</f>
        <v>114.9</v>
      </c>
      <c r="G683" s="473">
        <f>G684</f>
        <v>-83.6</v>
      </c>
      <c r="H683" s="472">
        <f>H684</f>
        <v>31.300000000000011</v>
      </c>
      <c r="I683" s="29">
        <f>I684</f>
        <v>0</v>
      </c>
      <c r="J683" s="29"/>
      <c r="K683" s="29">
        <f>K684</f>
        <v>0</v>
      </c>
      <c r="L683" s="29">
        <f>L684</f>
        <v>0</v>
      </c>
      <c r="M683" s="29"/>
      <c r="N683" s="29">
        <f>N684</f>
        <v>0</v>
      </c>
    </row>
    <row r="684" spans="1:14" ht="25.5" x14ac:dyDescent="0.25">
      <c r="A684" s="229"/>
      <c r="B684" s="27"/>
      <c r="C684" s="248"/>
      <c r="D684" s="27" t="s">
        <v>64</v>
      </c>
      <c r="E684" s="28" t="s">
        <v>65</v>
      </c>
      <c r="F684" s="472">
        <v>114.9</v>
      </c>
      <c r="G684" s="473">
        <v>-83.6</v>
      </c>
      <c r="H684" s="472">
        <f>SUM(F684:G684)</f>
        <v>31.300000000000011</v>
      </c>
      <c r="I684" s="29">
        <v>0</v>
      </c>
      <c r="J684" s="29"/>
      <c r="K684" s="29">
        <v>0</v>
      </c>
      <c r="L684" s="29">
        <v>0</v>
      </c>
      <c r="M684" s="29"/>
      <c r="N684" s="29">
        <v>0</v>
      </c>
    </row>
    <row r="685" spans="1:14" ht="26.25" x14ac:dyDescent="0.25">
      <c r="A685" s="229"/>
      <c r="B685" s="27"/>
      <c r="C685" s="157" t="s">
        <v>1141</v>
      </c>
      <c r="D685" s="157"/>
      <c r="E685" s="159" t="s">
        <v>1140</v>
      </c>
      <c r="F685" s="472">
        <v>1635.8</v>
      </c>
      <c r="G685" s="472">
        <f>G686</f>
        <v>0</v>
      </c>
      <c r="H685" s="472">
        <f>SUM(F685:G685)</f>
        <v>1635.8</v>
      </c>
      <c r="I685" s="29">
        <v>1750</v>
      </c>
      <c r="J685" s="29"/>
      <c r="K685" s="29">
        <v>1750</v>
      </c>
      <c r="L685" s="29">
        <v>1750</v>
      </c>
      <c r="M685" s="29"/>
      <c r="N685" s="29">
        <v>1750</v>
      </c>
    </row>
    <row r="686" spans="1:14" ht="26.25" x14ac:dyDescent="0.25">
      <c r="A686" s="229"/>
      <c r="B686" s="27"/>
      <c r="C686" s="157"/>
      <c r="D686" s="157" t="s">
        <v>64</v>
      </c>
      <c r="E686" s="159" t="s">
        <v>65</v>
      </c>
      <c r="F686" s="472">
        <v>1635.8</v>
      </c>
      <c r="G686" s="472"/>
      <c r="H686" s="472">
        <f>SUM(F686:G686)</f>
        <v>1635.8</v>
      </c>
      <c r="I686" s="29">
        <v>1750</v>
      </c>
      <c r="J686" s="29"/>
      <c r="K686" s="29">
        <v>1750</v>
      </c>
      <c r="L686" s="29">
        <v>1750</v>
      </c>
      <c r="M686" s="29"/>
      <c r="N686" s="29">
        <v>1750</v>
      </c>
    </row>
    <row r="687" spans="1:14" ht="38.25" x14ac:dyDescent="0.25">
      <c r="A687" s="229"/>
      <c r="B687" s="27"/>
      <c r="C687" s="248" t="s">
        <v>123</v>
      </c>
      <c r="D687" s="27"/>
      <c r="E687" s="28" t="s">
        <v>124</v>
      </c>
      <c r="F687" s="472">
        <f>F689+F688+F690</f>
        <v>4025.6000000000004</v>
      </c>
      <c r="G687" s="473"/>
      <c r="H687" s="472">
        <f>H689+H688+H690</f>
        <v>4025.6</v>
      </c>
      <c r="I687" s="29">
        <f>I689+I688</f>
        <v>4025.6</v>
      </c>
      <c r="J687" s="29"/>
      <c r="K687" s="29">
        <f>K689+K688</f>
        <v>4025.6</v>
      </c>
      <c r="L687" s="29">
        <f>L689+L688</f>
        <v>4025.6</v>
      </c>
      <c r="M687" s="29"/>
      <c r="N687" s="29">
        <f>N689+N688</f>
        <v>4025.6</v>
      </c>
    </row>
    <row r="688" spans="1:14" x14ac:dyDescent="0.25">
      <c r="A688" s="229"/>
      <c r="B688" s="27"/>
      <c r="C688" s="248"/>
      <c r="D688" s="27" t="s">
        <v>37</v>
      </c>
      <c r="E688" s="28" t="s">
        <v>38</v>
      </c>
      <c r="F688" s="472">
        <v>0</v>
      </c>
      <c r="G688" s="473"/>
      <c r="H688" s="472">
        <f>SUM(F688:G688)</f>
        <v>0</v>
      </c>
      <c r="I688" s="29">
        <v>64.099999999999994</v>
      </c>
      <c r="J688" s="29"/>
      <c r="K688" s="29">
        <v>64.099999999999994</v>
      </c>
      <c r="L688" s="29">
        <v>64.099999999999994</v>
      </c>
      <c r="M688" s="29"/>
      <c r="N688" s="29">
        <v>64.099999999999994</v>
      </c>
    </row>
    <row r="689" spans="1:14" ht="25.5" x14ac:dyDescent="0.25">
      <c r="A689" s="229"/>
      <c r="B689" s="27"/>
      <c r="C689" s="248"/>
      <c r="D689" s="27" t="s">
        <v>64</v>
      </c>
      <c r="E689" s="28" t="s">
        <v>65</v>
      </c>
      <c r="F689" s="472">
        <v>3952.3</v>
      </c>
      <c r="G689" s="473">
        <v>55.2</v>
      </c>
      <c r="H689" s="472">
        <f>SUM(F689:G689)</f>
        <v>4007.5</v>
      </c>
      <c r="I689" s="29">
        <v>3961.5</v>
      </c>
      <c r="J689" s="29"/>
      <c r="K689" s="29">
        <v>3961.5</v>
      </c>
      <c r="L689" s="29">
        <v>3961.5</v>
      </c>
      <c r="M689" s="29"/>
      <c r="N689" s="29">
        <v>3961.5</v>
      </c>
    </row>
    <row r="690" spans="1:14" x14ac:dyDescent="0.25">
      <c r="A690" s="229"/>
      <c r="B690" s="27"/>
      <c r="C690" s="248"/>
      <c r="D690" s="157" t="s">
        <v>32</v>
      </c>
      <c r="E690" s="159" t="s">
        <v>33</v>
      </c>
      <c r="F690" s="472">
        <v>73.3</v>
      </c>
      <c r="G690" s="473">
        <v>-55.2</v>
      </c>
      <c r="H690" s="472">
        <f>SUM(F690:G690)</f>
        <v>18.099999999999994</v>
      </c>
      <c r="I690" s="29"/>
      <c r="J690" s="29"/>
      <c r="K690" s="29"/>
      <c r="L690" s="29"/>
      <c r="M690" s="29"/>
      <c r="N690" s="29"/>
    </row>
    <row r="691" spans="1:14" x14ac:dyDescent="0.25">
      <c r="A691" s="225"/>
      <c r="B691" s="7" t="s">
        <v>927</v>
      </c>
      <c r="C691" s="230"/>
      <c r="D691" s="7"/>
      <c r="E691" s="233" t="s">
        <v>928</v>
      </c>
      <c r="F691" s="491">
        <f>F692</f>
        <v>6517.8</v>
      </c>
      <c r="G691" s="491">
        <f>G692</f>
        <v>5</v>
      </c>
      <c r="H691" s="491">
        <f>H692</f>
        <v>6522.8</v>
      </c>
      <c r="I691" s="232">
        <f>I692</f>
        <v>6544.2</v>
      </c>
      <c r="J691" s="232"/>
      <c r="K691" s="232">
        <f>K692</f>
        <v>6544.2</v>
      </c>
      <c r="L691" s="232">
        <f>L692</f>
        <v>6544.2</v>
      </c>
      <c r="M691" s="232"/>
      <c r="N691" s="232">
        <f>N692</f>
        <v>6544.2</v>
      </c>
    </row>
    <row r="692" spans="1:14" ht="25.5" x14ac:dyDescent="0.25">
      <c r="A692" s="225"/>
      <c r="B692" s="7"/>
      <c r="C692" s="230" t="s">
        <v>9</v>
      </c>
      <c r="D692" s="7"/>
      <c r="E692" s="233" t="s">
        <v>10</v>
      </c>
      <c r="F692" s="491">
        <f>F693+F702</f>
        <v>6517.8</v>
      </c>
      <c r="G692" s="491">
        <f>G693+G702</f>
        <v>5</v>
      </c>
      <c r="H692" s="491">
        <f>H693+H702</f>
        <v>6522.8</v>
      </c>
      <c r="I692" s="232">
        <f>I693+I702</f>
        <v>6544.2</v>
      </c>
      <c r="J692" s="232"/>
      <c r="K692" s="232">
        <f>K693+K702</f>
        <v>6544.2</v>
      </c>
      <c r="L692" s="232">
        <f>L693+L702</f>
        <v>6544.2</v>
      </c>
      <c r="M692" s="232"/>
      <c r="N692" s="232">
        <f>N693+N702</f>
        <v>6544.2</v>
      </c>
    </row>
    <row r="693" spans="1:14" ht="25.5" x14ac:dyDescent="0.25">
      <c r="A693" s="260"/>
      <c r="B693" s="235"/>
      <c r="C693" s="236" t="s">
        <v>11</v>
      </c>
      <c r="D693" s="235"/>
      <c r="E693" s="237" t="s">
        <v>12</v>
      </c>
      <c r="F693" s="492">
        <f t="shared" ref="F693:N694" si="129">F694</f>
        <v>5660</v>
      </c>
      <c r="G693" s="492">
        <f t="shared" si="129"/>
        <v>0</v>
      </c>
      <c r="H693" s="492">
        <f t="shared" si="129"/>
        <v>5660</v>
      </c>
      <c r="I693" s="238">
        <f t="shared" si="129"/>
        <v>5694.7</v>
      </c>
      <c r="J693" s="238"/>
      <c r="K693" s="238">
        <f t="shared" si="129"/>
        <v>5694.7</v>
      </c>
      <c r="L693" s="238">
        <f t="shared" si="129"/>
        <v>5694.7</v>
      </c>
      <c r="M693" s="238"/>
      <c r="N693" s="238">
        <f t="shared" si="129"/>
        <v>5694.7</v>
      </c>
    </row>
    <row r="694" spans="1:14" ht="25.5" x14ac:dyDescent="0.25">
      <c r="A694" s="239"/>
      <c r="B694" s="240"/>
      <c r="C694" s="241" t="s">
        <v>26</v>
      </c>
      <c r="D694" s="240"/>
      <c r="E694" s="242" t="s">
        <v>27</v>
      </c>
      <c r="F694" s="514">
        <f t="shared" si="129"/>
        <v>5660</v>
      </c>
      <c r="G694" s="514">
        <f t="shared" si="129"/>
        <v>0</v>
      </c>
      <c r="H694" s="514">
        <f t="shared" si="129"/>
        <v>5660</v>
      </c>
      <c r="I694" s="243">
        <f t="shared" si="129"/>
        <v>5694.7</v>
      </c>
      <c r="J694" s="243"/>
      <c r="K694" s="243">
        <f t="shared" si="129"/>
        <v>5694.7</v>
      </c>
      <c r="L694" s="243">
        <f t="shared" si="129"/>
        <v>5694.7</v>
      </c>
      <c r="M694" s="243"/>
      <c r="N694" s="243">
        <f t="shared" si="129"/>
        <v>5694.7</v>
      </c>
    </row>
    <row r="695" spans="1:14" ht="38.25" x14ac:dyDescent="0.25">
      <c r="A695" s="244"/>
      <c r="B695" s="34"/>
      <c r="C695" s="245" t="s">
        <v>28</v>
      </c>
      <c r="D695" s="34"/>
      <c r="E695" s="246" t="s">
        <v>466</v>
      </c>
      <c r="F695" s="494">
        <f>F696+F699</f>
        <v>5660</v>
      </c>
      <c r="G695" s="494">
        <f>G696+G699</f>
        <v>0</v>
      </c>
      <c r="H695" s="494">
        <f>H696+H699</f>
        <v>5660</v>
      </c>
      <c r="I695" s="247">
        <f>I696+I699</f>
        <v>5694.7</v>
      </c>
      <c r="J695" s="247"/>
      <c r="K695" s="247">
        <f>K696+K699</f>
        <v>5694.7</v>
      </c>
      <c r="L695" s="247">
        <f>L696+L699</f>
        <v>5694.7</v>
      </c>
      <c r="M695" s="247"/>
      <c r="N695" s="247">
        <f>N696+N699</f>
        <v>5694.7</v>
      </c>
    </row>
    <row r="696" spans="1:14" ht="25.5" x14ac:dyDescent="0.25">
      <c r="A696" s="229"/>
      <c r="B696" s="27"/>
      <c r="C696" s="248" t="s">
        <v>31</v>
      </c>
      <c r="D696" s="27"/>
      <c r="E696" s="28" t="s">
        <v>988</v>
      </c>
      <c r="F696" s="472">
        <f>F697+F698</f>
        <v>5638</v>
      </c>
      <c r="G696" s="472">
        <f>G697+G698</f>
        <v>0</v>
      </c>
      <c r="H696" s="472">
        <f>H697+H698</f>
        <v>5638</v>
      </c>
      <c r="I696" s="29">
        <f>I697+I698</f>
        <v>5694.7</v>
      </c>
      <c r="J696" s="29"/>
      <c r="K696" s="29">
        <f>K697+K698</f>
        <v>5694.7</v>
      </c>
      <c r="L696" s="29">
        <f>L697+L698</f>
        <v>5694.7</v>
      </c>
      <c r="M696" s="29"/>
      <c r="N696" s="29">
        <f>N697+N698</f>
        <v>5694.7</v>
      </c>
    </row>
    <row r="697" spans="1:14" ht="39" x14ac:dyDescent="0.25">
      <c r="A697" s="225"/>
      <c r="B697" s="27"/>
      <c r="C697" s="248"/>
      <c r="D697" s="27" t="s">
        <v>30</v>
      </c>
      <c r="E697" s="26" t="s">
        <v>450</v>
      </c>
      <c r="F697" s="472">
        <v>5418.1</v>
      </c>
      <c r="G697" s="473"/>
      <c r="H697" s="472">
        <f>SUM(F697:G697)</f>
        <v>5418.1</v>
      </c>
      <c r="I697" s="29">
        <v>5474.8</v>
      </c>
      <c r="J697" s="29"/>
      <c r="K697" s="29">
        <v>5474.8</v>
      </c>
      <c r="L697" s="29">
        <v>5474.8</v>
      </c>
      <c r="M697" s="29"/>
      <c r="N697" s="29">
        <v>5474.8</v>
      </c>
    </row>
    <row r="698" spans="1:14" ht="25.5" x14ac:dyDescent="0.25">
      <c r="A698" s="225"/>
      <c r="B698" s="27"/>
      <c r="C698" s="248"/>
      <c r="D698" s="27" t="s">
        <v>17</v>
      </c>
      <c r="E698" s="30" t="s">
        <v>18</v>
      </c>
      <c r="F698" s="472">
        <v>219.9</v>
      </c>
      <c r="G698" s="472"/>
      <c r="H698" s="472">
        <v>219.9</v>
      </c>
      <c r="I698" s="29">
        <v>219.9</v>
      </c>
      <c r="J698" s="29"/>
      <c r="K698" s="29">
        <v>219.9</v>
      </c>
      <c r="L698" s="29">
        <v>219.9</v>
      </c>
      <c r="M698" s="29"/>
      <c r="N698" s="29">
        <v>219.9</v>
      </c>
    </row>
    <row r="699" spans="1:14" ht="51" x14ac:dyDescent="0.25">
      <c r="A699" s="225"/>
      <c r="B699" s="27"/>
      <c r="C699" s="248" t="s">
        <v>34</v>
      </c>
      <c r="D699" s="27"/>
      <c r="E699" s="28" t="s">
        <v>987</v>
      </c>
      <c r="F699" s="472">
        <f>F701+F700</f>
        <v>22</v>
      </c>
      <c r="G699" s="472">
        <v>0</v>
      </c>
      <c r="H699" s="472">
        <f>H701+H700</f>
        <v>22</v>
      </c>
      <c r="I699" s="29">
        <f>I701</f>
        <v>0</v>
      </c>
      <c r="J699" s="29"/>
      <c r="K699" s="29">
        <f>K701</f>
        <v>0</v>
      </c>
      <c r="L699" s="29">
        <f>L701</f>
        <v>0</v>
      </c>
      <c r="M699" s="29"/>
      <c r="N699" s="29">
        <f>N701</f>
        <v>0</v>
      </c>
    </row>
    <row r="700" spans="1:14" ht="39" x14ac:dyDescent="0.25">
      <c r="A700" s="225"/>
      <c r="B700" s="27"/>
      <c r="C700" s="248"/>
      <c r="D700" s="27" t="s">
        <v>30</v>
      </c>
      <c r="E700" s="26" t="s">
        <v>450</v>
      </c>
      <c r="F700" s="472">
        <v>1.1000000000000001</v>
      </c>
      <c r="G700" s="472"/>
      <c r="H700" s="472">
        <f>SUM(F700:G700)</f>
        <v>1.1000000000000001</v>
      </c>
      <c r="I700" s="29"/>
      <c r="J700" s="29"/>
      <c r="K700" s="29">
        <v>0</v>
      </c>
      <c r="L700" s="29"/>
      <c r="M700" s="29"/>
      <c r="N700" s="29">
        <v>0</v>
      </c>
    </row>
    <row r="701" spans="1:14" ht="25.5" x14ac:dyDescent="0.25">
      <c r="A701" s="229"/>
      <c r="B701" s="27"/>
      <c r="C701" s="248"/>
      <c r="D701" s="27" t="s">
        <v>17</v>
      </c>
      <c r="E701" s="30" t="s">
        <v>18</v>
      </c>
      <c r="F701" s="472">
        <v>20.9</v>
      </c>
      <c r="G701" s="472"/>
      <c r="H701" s="472">
        <f>SUM(F701:G701)</f>
        <v>20.9</v>
      </c>
      <c r="I701" s="29">
        <v>0</v>
      </c>
      <c r="J701" s="29"/>
      <c r="K701" s="29">
        <v>0</v>
      </c>
      <c r="L701" s="29">
        <v>0</v>
      </c>
      <c r="M701" s="29"/>
      <c r="N701" s="29">
        <v>0</v>
      </c>
    </row>
    <row r="702" spans="1:14" ht="25.5" x14ac:dyDescent="0.25">
      <c r="A702" s="260"/>
      <c r="B702" s="235"/>
      <c r="C702" s="236" t="s">
        <v>56</v>
      </c>
      <c r="D702" s="235"/>
      <c r="E702" s="237" t="s">
        <v>57</v>
      </c>
      <c r="F702" s="492">
        <f>+F703+F715+F721</f>
        <v>857.8</v>
      </c>
      <c r="G702" s="492">
        <f>+G703+G715+G721+G725</f>
        <v>5</v>
      </c>
      <c r="H702" s="492">
        <f>+H703+H715+H721+H725</f>
        <v>862.8</v>
      </c>
      <c r="I702" s="238">
        <f>+I703+I715+I721</f>
        <v>849.49999999999989</v>
      </c>
      <c r="J702" s="238"/>
      <c r="K702" s="238">
        <f>+K703+K715+K721</f>
        <v>849.49999999999989</v>
      </c>
      <c r="L702" s="238">
        <f>+L703+L715+L721</f>
        <v>849.49999999999989</v>
      </c>
      <c r="M702" s="238"/>
      <c r="N702" s="238">
        <f>+N703+N715+N721</f>
        <v>849.49999999999989</v>
      </c>
    </row>
    <row r="703" spans="1:14" x14ac:dyDescent="0.25">
      <c r="A703" s="286"/>
      <c r="B703" s="287"/>
      <c r="C703" s="288" t="s">
        <v>103</v>
      </c>
      <c r="D703" s="287"/>
      <c r="E703" s="295" t="s">
        <v>104</v>
      </c>
      <c r="F703" s="515">
        <f>F704</f>
        <v>617.9</v>
      </c>
      <c r="G703" s="515">
        <f>G704</f>
        <v>0</v>
      </c>
      <c r="H703" s="515">
        <f>H704</f>
        <v>617.9</v>
      </c>
      <c r="I703" s="334">
        <f>I704</f>
        <v>609.59999999999991</v>
      </c>
      <c r="J703" s="334"/>
      <c r="K703" s="334">
        <f>K704</f>
        <v>609.59999999999991</v>
      </c>
      <c r="L703" s="334">
        <f>L704</f>
        <v>609.59999999999991</v>
      </c>
      <c r="M703" s="334"/>
      <c r="N703" s="334">
        <f>N704</f>
        <v>609.59999999999991</v>
      </c>
    </row>
    <row r="704" spans="1:14" ht="25.5" x14ac:dyDescent="0.25">
      <c r="A704" s="244"/>
      <c r="B704" s="34"/>
      <c r="C704" s="245" t="s">
        <v>105</v>
      </c>
      <c r="D704" s="255"/>
      <c r="E704" s="246" t="s">
        <v>106</v>
      </c>
      <c r="F704" s="494">
        <f>F705+F707+F709+F711+F713</f>
        <v>617.9</v>
      </c>
      <c r="G704" s="494">
        <f>G705+G707+G709+G711+G713</f>
        <v>0</v>
      </c>
      <c r="H704" s="494">
        <f>H705+H707+H709+H711+H713</f>
        <v>617.9</v>
      </c>
      <c r="I704" s="247">
        <f>I705+I707+I709</f>
        <v>609.59999999999991</v>
      </c>
      <c r="J704" s="247"/>
      <c r="K704" s="247">
        <f>K705+K707+K709</f>
        <v>609.59999999999991</v>
      </c>
      <c r="L704" s="247">
        <f>L705+L707+L709</f>
        <v>609.59999999999991</v>
      </c>
      <c r="M704" s="247"/>
      <c r="N704" s="247">
        <f>N705+N707+N709</f>
        <v>609.59999999999991</v>
      </c>
    </row>
    <row r="705" spans="1:14" x14ac:dyDescent="0.25">
      <c r="A705" s="229"/>
      <c r="B705" s="27"/>
      <c r="C705" s="248" t="s">
        <v>111</v>
      </c>
      <c r="D705" s="27"/>
      <c r="E705" s="28" t="s">
        <v>112</v>
      </c>
      <c r="F705" s="472">
        <f>F706</f>
        <v>278.2</v>
      </c>
      <c r="G705" s="472"/>
      <c r="H705" s="472">
        <f>H706</f>
        <v>278.2</v>
      </c>
      <c r="I705" s="29">
        <f>I706</f>
        <v>278.2</v>
      </c>
      <c r="J705" s="29"/>
      <c r="K705" s="29">
        <f>K706</f>
        <v>278.2</v>
      </c>
      <c r="L705" s="29">
        <f>L706</f>
        <v>278.2</v>
      </c>
      <c r="M705" s="29"/>
      <c r="N705" s="29">
        <f>N706</f>
        <v>278.2</v>
      </c>
    </row>
    <row r="706" spans="1:14" ht="25.5" x14ac:dyDescent="0.25">
      <c r="A706" s="229"/>
      <c r="B706" s="27"/>
      <c r="C706" s="248"/>
      <c r="D706" s="27" t="s">
        <v>64</v>
      </c>
      <c r="E706" s="28" t="s">
        <v>65</v>
      </c>
      <c r="F706" s="472">
        <v>278.2</v>
      </c>
      <c r="G706" s="472"/>
      <c r="H706" s="472">
        <v>278.2</v>
      </c>
      <c r="I706" s="29">
        <v>278.2</v>
      </c>
      <c r="J706" s="29"/>
      <c r="K706" s="29">
        <v>278.2</v>
      </c>
      <c r="L706" s="29">
        <v>278.2</v>
      </c>
      <c r="M706" s="29"/>
      <c r="N706" s="29">
        <v>278.2</v>
      </c>
    </row>
    <row r="707" spans="1:14" x14ac:dyDescent="0.25">
      <c r="A707" s="225"/>
      <c r="B707" s="27"/>
      <c r="C707" s="248" t="s">
        <v>113</v>
      </c>
      <c r="D707" s="27"/>
      <c r="E707" s="28" t="s">
        <v>114</v>
      </c>
      <c r="F707" s="472">
        <f>F708</f>
        <v>100.1</v>
      </c>
      <c r="G707" s="472"/>
      <c r="H707" s="472">
        <f>H708</f>
        <v>100.1</v>
      </c>
      <c r="I707" s="29">
        <f>I708</f>
        <v>100.1</v>
      </c>
      <c r="J707" s="29"/>
      <c r="K707" s="29">
        <f>K708</f>
        <v>100.1</v>
      </c>
      <c r="L707" s="29">
        <f>L708</f>
        <v>100.1</v>
      </c>
      <c r="M707" s="29"/>
      <c r="N707" s="29">
        <f>N708</f>
        <v>100.1</v>
      </c>
    </row>
    <row r="708" spans="1:14" ht="25.5" x14ac:dyDescent="0.25">
      <c r="A708" s="225"/>
      <c r="B708" s="27"/>
      <c r="C708" s="248"/>
      <c r="D708" s="27" t="s">
        <v>64</v>
      </c>
      <c r="E708" s="28" t="s">
        <v>65</v>
      </c>
      <c r="F708" s="472">
        <v>100.1</v>
      </c>
      <c r="G708" s="472"/>
      <c r="H708" s="472">
        <v>100.1</v>
      </c>
      <c r="I708" s="29">
        <v>100.1</v>
      </c>
      <c r="J708" s="29"/>
      <c r="K708" s="29">
        <v>100.1</v>
      </c>
      <c r="L708" s="29">
        <v>100.1</v>
      </c>
      <c r="M708" s="29"/>
      <c r="N708" s="29">
        <v>100.1</v>
      </c>
    </row>
    <row r="709" spans="1:14" x14ac:dyDescent="0.25">
      <c r="A709" s="229"/>
      <c r="B709" s="27"/>
      <c r="C709" s="248" t="s">
        <v>115</v>
      </c>
      <c r="D709" s="27"/>
      <c r="E709" s="28" t="s">
        <v>116</v>
      </c>
      <c r="F709" s="472">
        <f>F710</f>
        <v>109.6</v>
      </c>
      <c r="G709" s="472">
        <f>G710</f>
        <v>0</v>
      </c>
      <c r="H709" s="472">
        <f>H710</f>
        <v>109.6</v>
      </c>
      <c r="I709" s="29">
        <f>I710</f>
        <v>231.3</v>
      </c>
      <c r="J709" s="29"/>
      <c r="K709" s="29">
        <f>K710</f>
        <v>231.3</v>
      </c>
      <c r="L709" s="29">
        <f>L710</f>
        <v>231.3</v>
      </c>
      <c r="M709" s="29"/>
      <c r="N709" s="29">
        <f>N710</f>
        <v>231.3</v>
      </c>
    </row>
    <row r="710" spans="1:14" ht="25.5" x14ac:dyDescent="0.25">
      <c r="A710" s="229"/>
      <c r="B710" s="27"/>
      <c r="C710" s="248"/>
      <c r="D710" s="27" t="s">
        <v>64</v>
      </c>
      <c r="E710" s="28" t="s">
        <v>65</v>
      </c>
      <c r="F710" s="472">
        <v>109.6</v>
      </c>
      <c r="G710" s="472"/>
      <c r="H710" s="472">
        <f>SUM(F710:G710)</f>
        <v>109.6</v>
      </c>
      <c r="I710" s="29">
        <v>231.3</v>
      </c>
      <c r="J710" s="29"/>
      <c r="K710" s="29">
        <v>231.3</v>
      </c>
      <c r="L710" s="29">
        <v>231.3</v>
      </c>
      <c r="M710" s="29"/>
      <c r="N710" s="29">
        <v>231.3</v>
      </c>
    </row>
    <row r="711" spans="1:14" x14ac:dyDescent="0.25">
      <c r="A711" s="225"/>
      <c r="B711" s="27"/>
      <c r="C711" s="248" t="s">
        <v>787</v>
      </c>
      <c r="D711" s="27"/>
      <c r="E711" s="26" t="s">
        <v>741</v>
      </c>
      <c r="F711" s="472">
        <f>F712</f>
        <v>60</v>
      </c>
      <c r="G711" s="472"/>
      <c r="H711" s="472">
        <f>H712</f>
        <v>60</v>
      </c>
      <c r="I711" s="29">
        <f>I712</f>
        <v>0</v>
      </c>
      <c r="J711" s="29"/>
      <c r="K711" s="29">
        <f>K712</f>
        <v>0</v>
      </c>
      <c r="L711" s="29">
        <f>L712</f>
        <v>0</v>
      </c>
      <c r="M711" s="29"/>
      <c r="N711" s="29">
        <f>N712</f>
        <v>0</v>
      </c>
    </row>
    <row r="712" spans="1:14" ht="25.5" x14ac:dyDescent="0.25">
      <c r="A712" s="225"/>
      <c r="B712" s="27"/>
      <c r="C712" s="248"/>
      <c r="D712" s="27" t="s">
        <v>64</v>
      </c>
      <c r="E712" s="28" t="s">
        <v>65</v>
      </c>
      <c r="F712" s="472">
        <f>58.5+1.5</f>
        <v>60</v>
      </c>
      <c r="G712" s="472"/>
      <c r="H712" s="472">
        <f>58.5+1.5</f>
        <v>60</v>
      </c>
      <c r="I712" s="29">
        <v>0</v>
      </c>
      <c r="J712" s="29"/>
      <c r="K712" s="29">
        <v>0</v>
      </c>
      <c r="L712" s="29">
        <v>0</v>
      </c>
      <c r="M712" s="29"/>
      <c r="N712" s="29">
        <v>0</v>
      </c>
    </row>
    <row r="713" spans="1:14" ht="39" x14ac:dyDescent="0.25">
      <c r="A713" s="229"/>
      <c r="B713" s="27"/>
      <c r="C713" s="248" t="s">
        <v>742</v>
      </c>
      <c r="D713" s="27"/>
      <c r="E713" s="26" t="s">
        <v>253</v>
      </c>
      <c r="F713" s="472">
        <f>F714</f>
        <v>70</v>
      </c>
      <c r="G713" s="472"/>
      <c r="H713" s="472">
        <f>H714</f>
        <v>70</v>
      </c>
      <c r="I713" s="29">
        <f>I714</f>
        <v>0</v>
      </c>
      <c r="J713" s="29"/>
      <c r="K713" s="29">
        <f>K714</f>
        <v>0</v>
      </c>
      <c r="L713" s="29">
        <f>L714</f>
        <v>0</v>
      </c>
      <c r="M713" s="29"/>
      <c r="N713" s="29">
        <f>N714</f>
        <v>0</v>
      </c>
    </row>
    <row r="714" spans="1:14" ht="25.5" x14ac:dyDescent="0.25">
      <c r="A714" s="229"/>
      <c r="B714" s="27"/>
      <c r="C714" s="248"/>
      <c r="D714" s="27" t="s">
        <v>64</v>
      </c>
      <c r="E714" s="28" t="s">
        <v>65</v>
      </c>
      <c r="F714" s="472">
        <v>70</v>
      </c>
      <c r="G714" s="472"/>
      <c r="H714" s="472">
        <v>70</v>
      </c>
      <c r="I714" s="29">
        <v>0</v>
      </c>
      <c r="J714" s="29"/>
      <c r="K714" s="29">
        <v>0</v>
      </c>
      <c r="L714" s="29">
        <v>0</v>
      </c>
      <c r="M714" s="29"/>
      <c r="N714" s="29">
        <v>0</v>
      </c>
    </row>
    <row r="715" spans="1:14" x14ac:dyDescent="0.25">
      <c r="A715" s="291"/>
      <c r="B715" s="287"/>
      <c r="C715" s="288" t="s">
        <v>125</v>
      </c>
      <c r="D715" s="287"/>
      <c r="E715" s="295" t="s">
        <v>126</v>
      </c>
      <c r="F715" s="493">
        <f>F716</f>
        <v>211.4</v>
      </c>
      <c r="G715" s="493"/>
      <c r="H715" s="493">
        <f>H716</f>
        <v>211.4</v>
      </c>
      <c r="I715" s="290">
        <f t="shared" ref="I715:N715" si="130">I716</f>
        <v>211.4</v>
      </c>
      <c r="J715" s="290"/>
      <c r="K715" s="290">
        <f t="shared" si="130"/>
        <v>211.4</v>
      </c>
      <c r="L715" s="290">
        <f t="shared" si="130"/>
        <v>211.4</v>
      </c>
      <c r="M715" s="290"/>
      <c r="N715" s="290">
        <f t="shared" si="130"/>
        <v>211.4</v>
      </c>
    </row>
    <row r="716" spans="1:14" ht="25.5" x14ac:dyDescent="0.25">
      <c r="A716" s="254"/>
      <c r="B716" s="34"/>
      <c r="C716" s="245" t="s">
        <v>127</v>
      </c>
      <c r="D716" s="34"/>
      <c r="E716" s="246" t="s">
        <v>128</v>
      </c>
      <c r="F716" s="494">
        <f>F717+F719</f>
        <v>211.4</v>
      </c>
      <c r="G716" s="494"/>
      <c r="H716" s="494">
        <f>H717+H719</f>
        <v>211.4</v>
      </c>
      <c r="I716" s="247">
        <f>I717+I719</f>
        <v>211.4</v>
      </c>
      <c r="J716" s="247"/>
      <c r="K716" s="247">
        <f>K717+K719</f>
        <v>211.4</v>
      </c>
      <c r="L716" s="247">
        <f>L717+L719</f>
        <v>211.4</v>
      </c>
      <c r="M716" s="247"/>
      <c r="N716" s="247">
        <f>N717+N719</f>
        <v>211.4</v>
      </c>
    </row>
    <row r="717" spans="1:14" x14ac:dyDescent="0.25">
      <c r="A717" s="229"/>
      <c r="B717" s="7"/>
      <c r="C717" s="335" t="s">
        <v>129</v>
      </c>
      <c r="D717" s="336"/>
      <c r="E717" s="337" t="s">
        <v>130</v>
      </c>
      <c r="F717" s="472">
        <f>F718</f>
        <v>150.30000000000001</v>
      </c>
      <c r="G717" s="472"/>
      <c r="H717" s="472">
        <f>H718</f>
        <v>150.30000000000001</v>
      </c>
      <c r="I717" s="29">
        <f>I718</f>
        <v>150.30000000000001</v>
      </c>
      <c r="J717" s="29"/>
      <c r="K717" s="29">
        <f>K718</f>
        <v>150.30000000000001</v>
      </c>
      <c r="L717" s="29">
        <f>L718</f>
        <v>150.30000000000001</v>
      </c>
      <c r="M717" s="29"/>
      <c r="N717" s="29">
        <f>N718</f>
        <v>150.30000000000001</v>
      </c>
    </row>
    <row r="718" spans="1:14" ht="25.5" x14ac:dyDescent="0.25">
      <c r="A718" s="229"/>
      <c r="B718" s="7"/>
      <c r="C718" s="335"/>
      <c r="D718" s="336" t="s">
        <v>64</v>
      </c>
      <c r="E718" s="337" t="s">
        <v>65</v>
      </c>
      <c r="F718" s="472">
        <v>150.30000000000001</v>
      </c>
      <c r="G718" s="472"/>
      <c r="H718" s="472">
        <v>150.30000000000001</v>
      </c>
      <c r="I718" s="29">
        <v>150.30000000000001</v>
      </c>
      <c r="J718" s="29"/>
      <c r="K718" s="29">
        <v>150.30000000000001</v>
      </c>
      <c r="L718" s="29">
        <v>150.30000000000001</v>
      </c>
      <c r="M718" s="29"/>
      <c r="N718" s="29">
        <v>150.30000000000001</v>
      </c>
    </row>
    <row r="719" spans="1:14" ht="25.5" x14ac:dyDescent="0.25">
      <c r="A719" s="229"/>
      <c r="B719" s="27"/>
      <c r="C719" s="248" t="s">
        <v>131</v>
      </c>
      <c r="D719" s="27"/>
      <c r="E719" s="28" t="s">
        <v>132</v>
      </c>
      <c r="F719" s="472">
        <f>F720</f>
        <v>61.1</v>
      </c>
      <c r="G719" s="472"/>
      <c r="H719" s="472">
        <f>H720</f>
        <v>61.1</v>
      </c>
      <c r="I719" s="29">
        <f>I720</f>
        <v>61.1</v>
      </c>
      <c r="J719" s="29"/>
      <c r="K719" s="29">
        <f>K720</f>
        <v>61.1</v>
      </c>
      <c r="L719" s="29">
        <f>L720</f>
        <v>61.1</v>
      </c>
      <c r="M719" s="29"/>
      <c r="N719" s="29">
        <f>N720</f>
        <v>61.1</v>
      </c>
    </row>
    <row r="720" spans="1:14" ht="25.5" x14ac:dyDescent="0.25">
      <c r="A720" s="7"/>
      <c r="B720" s="27"/>
      <c r="C720" s="248"/>
      <c r="D720" s="27" t="s">
        <v>64</v>
      </c>
      <c r="E720" s="28" t="s">
        <v>65</v>
      </c>
      <c r="F720" s="472">
        <v>61.1</v>
      </c>
      <c r="G720" s="472"/>
      <c r="H720" s="472">
        <v>61.1</v>
      </c>
      <c r="I720" s="29">
        <v>61.1</v>
      </c>
      <c r="J720" s="29"/>
      <c r="K720" s="29">
        <v>61.1</v>
      </c>
      <c r="L720" s="29">
        <v>61.1</v>
      </c>
      <c r="M720" s="29"/>
      <c r="N720" s="29">
        <v>61.1</v>
      </c>
    </row>
    <row r="721" spans="1:15" ht="25.5" x14ac:dyDescent="0.25">
      <c r="A721" s="291"/>
      <c r="B721" s="287"/>
      <c r="C721" s="288" t="s">
        <v>147</v>
      </c>
      <c r="D721" s="287"/>
      <c r="E721" s="295" t="s">
        <v>148</v>
      </c>
      <c r="F721" s="493">
        <f t="shared" ref="F721:N723" si="131">F722</f>
        <v>28.5</v>
      </c>
      <c r="G721" s="493"/>
      <c r="H721" s="493">
        <f t="shared" si="131"/>
        <v>28.5</v>
      </c>
      <c r="I721" s="290">
        <f t="shared" si="131"/>
        <v>28.5</v>
      </c>
      <c r="J721" s="290"/>
      <c r="K721" s="290">
        <f t="shared" si="131"/>
        <v>28.5</v>
      </c>
      <c r="L721" s="290">
        <f t="shared" si="131"/>
        <v>28.5</v>
      </c>
      <c r="M721" s="290"/>
      <c r="N721" s="290">
        <f t="shared" si="131"/>
        <v>28.5</v>
      </c>
    </row>
    <row r="722" spans="1:15" x14ac:dyDescent="0.25">
      <c r="A722" s="244"/>
      <c r="B722" s="34"/>
      <c r="C722" s="245" t="s">
        <v>149</v>
      </c>
      <c r="D722" s="34"/>
      <c r="E722" s="253" t="s">
        <v>150</v>
      </c>
      <c r="F722" s="494">
        <f t="shared" si="131"/>
        <v>28.5</v>
      </c>
      <c r="G722" s="494"/>
      <c r="H722" s="494">
        <f t="shared" si="131"/>
        <v>28.5</v>
      </c>
      <c r="I722" s="247">
        <f t="shared" si="131"/>
        <v>28.5</v>
      </c>
      <c r="J722" s="247"/>
      <c r="K722" s="247">
        <f t="shared" si="131"/>
        <v>28.5</v>
      </c>
      <c r="L722" s="247">
        <f t="shared" si="131"/>
        <v>28.5</v>
      </c>
      <c r="M722" s="247"/>
      <c r="N722" s="247">
        <f t="shared" si="131"/>
        <v>28.5</v>
      </c>
    </row>
    <row r="723" spans="1:15" ht="25.5" x14ac:dyDescent="0.25">
      <c r="A723" s="229"/>
      <c r="B723" s="27"/>
      <c r="C723" s="248" t="s">
        <v>151</v>
      </c>
      <c r="D723" s="27"/>
      <c r="E723" s="30" t="s">
        <v>152</v>
      </c>
      <c r="F723" s="472">
        <f t="shared" si="131"/>
        <v>28.5</v>
      </c>
      <c r="G723" s="472"/>
      <c r="H723" s="472">
        <f t="shared" si="131"/>
        <v>28.5</v>
      </c>
      <c r="I723" s="29">
        <f t="shared" si="131"/>
        <v>28.5</v>
      </c>
      <c r="J723" s="29"/>
      <c r="K723" s="29">
        <f t="shared" si="131"/>
        <v>28.5</v>
      </c>
      <c r="L723" s="29">
        <f t="shared" si="131"/>
        <v>28.5</v>
      </c>
      <c r="M723" s="29"/>
      <c r="N723" s="29">
        <f t="shared" si="131"/>
        <v>28.5</v>
      </c>
    </row>
    <row r="724" spans="1:15" ht="25.5" x14ac:dyDescent="0.25">
      <c r="A724" s="229"/>
      <c r="B724" s="27"/>
      <c r="C724" s="248"/>
      <c r="D724" s="27" t="s">
        <v>64</v>
      </c>
      <c r="E724" s="30" t="s">
        <v>65</v>
      </c>
      <c r="F724" s="472">
        <v>28.5</v>
      </c>
      <c r="G724" s="472"/>
      <c r="H724" s="472">
        <v>28.5</v>
      </c>
      <c r="I724" s="29">
        <v>28.5</v>
      </c>
      <c r="J724" s="29"/>
      <c r="K724" s="29">
        <v>28.5</v>
      </c>
      <c r="L724" s="29">
        <v>28.5</v>
      </c>
      <c r="M724" s="29"/>
      <c r="N724" s="29">
        <v>28.5</v>
      </c>
    </row>
    <row r="725" spans="1:15" ht="25.5" x14ac:dyDescent="0.25">
      <c r="A725" s="291"/>
      <c r="B725" s="287"/>
      <c r="C725" s="288" t="s">
        <v>1204</v>
      </c>
      <c r="D725" s="287"/>
      <c r="E725" s="295" t="s">
        <v>1205</v>
      </c>
      <c r="F725" s="493"/>
      <c r="G725" s="493">
        <v>5</v>
      </c>
      <c r="H725" s="493">
        <v>5</v>
      </c>
      <c r="I725" s="290"/>
      <c r="J725" s="290"/>
      <c r="K725" s="290"/>
      <c r="L725" s="290"/>
      <c r="M725" s="290"/>
      <c r="N725" s="290"/>
    </row>
    <row r="726" spans="1:15" x14ac:dyDescent="0.25">
      <c r="A726" s="244"/>
      <c r="B726" s="34"/>
      <c r="C726" s="245" t="s">
        <v>1206</v>
      </c>
      <c r="D726" s="34"/>
      <c r="E726" s="253" t="s">
        <v>1207</v>
      </c>
      <c r="F726" s="494"/>
      <c r="G726" s="494">
        <v>5</v>
      </c>
      <c r="H726" s="494">
        <v>5</v>
      </c>
      <c r="I726" s="247"/>
      <c r="J726" s="247"/>
      <c r="K726" s="247"/>
      <c r="L726" s="247"/>
      <c r="M726" s="247"/>
      <c r="N726" s="247"/>
    </row>
    <row r="727" spans="1:15" ht="26.25" x14ac:dyDescent="0.25">
      <c r="A727" s="229"/>
      <c r="B727" s="27"/>
      <c r="C727" s="32" t="s">
        <v>1208</v>
      </c>
      <c r="D727" s="32"/>
      <c r="E727" s="26" t="s">
        <v>1209</v>
      </c>
      <c r="F727" s="472"/>
      <c r="G727" s="473">
        <v>5</v>
      </c>
      <c r="H727" s="472">
        <v>5</v>
      </c>
      <c r="I727" s="29"/>
      <c r="J727" s="29"/>
      <c r="K727" s="29"/>
      <c r="L727" s="29"/>
      <c r="M727" s="29"/>
      <c r="N727" s="29"/>
    </row>
    <row r="728" spans="1:15" ht="26.25" x14ac:dyDescent="0.25">
      <c r="A728" s="229"/>
      <c r="B728" s="27"/>
      <c r="C728" s="32"/>
      <c r="D728" s="32" t="s">
        <v>64</v>
      </c>
      <c r="E728" s="26" t="s">
        <v>65</v>
      </c>
      <c r="F728" s="472"/>
      <c r="G728" s="473">
        <v>5</v>
      </c>
      <c r="H728" s="472">
        <v>5</v>
      </c>
      <c r="I728" s="29"/>
      <c r="J728" s="29"/>
      <c r="K728" s="29"/>
      <c r="L728" s="29"/>
      <c r="M728" s="29"/>
      <c r="N728" s="29"/>
    </row>
    <row r="729" spans="1:15" x14ac:dyDescent="0.25">
      <c r="A729" s="225"/>
      <c r="B729" s="7">
        <v>1000</v>
      </c>
      <c r="C729" s="230"/>
      <c r="D729" s="229"/>
      <c r="E729" s="231" t="s">
        <v>892</v>
      </c>
      <c r="F729" s="491">
        <f t="shared" ref="F729:N729" si="132">F730+F757</f>
        <v>28362.400000000001</v>
      </c>
      <c r="G729" s="601">
        <f t="shared" si="132"/>
        <v>-995.70299999999997</v>
      </c>
      <c r="H729" s="491">
        <f t="shared" si="132"/>
        <v>27366.697000000004</v>
      </c>
      <c r="I729" s="232">
        <f t="shared" si="132"/>
        <v>28999.200000000001</v>
      </c>
      <c r="J729" s="232">
        <f t="shared" si="132"/>
        <v>0</v>
      </c>
      <c r="K729" s="232">
        <f t="shared" si="132"/>
        <v>28999.200000000001</v>
      </c>
      <c r="L729" s="232">
        <f t="shared" si="132"/>
        <v>28251</v>
      </c>
      <c r="M729" s="232">
        <f t="shared" si="132"/>
        <v>0</v>
      </c>
      <c r="N729" s="232">
        <f t="shared" si="132"/>
        <v>28251</v>
      </c>
    </row>
    <row r="730" spans="1:15" x14ac:dyDescent="0.25">
      <c r="A730" s="225"/>
      <c r="B730" s="7">
        <v>1003</v>
      </c>
      <c r="C730" s="230"/>
      <c r="D730" s="229"/>
      <c r="E730" s="231" t="s">
        <v>896</v>
      </c>
      <c r="F730" s="491">
        <f t="shared" ref="F730:N731" si="133">F731</f>
        <v>25376.600000000002</v>
      </c>
      <c r="G730" s="491">
        <f t="shared" si="133"/>
        <v>-1135.5</v>
      </c>
      <c r="H730" s="491">
        <f t="shared" si="133"/>
        <v>24241.100000000002</v>
      </c>
      <c r="I730" s="232">
        <f t="shared" si="133"/>
        <v>25168</v>
      </c>
      <c r="J730" s="232">
        <f t="shared" si="133"/>
        <v>0</v>
      </c>
      <c r="K730" s="232">
        <f t="shared" si="133"/>
        <v>25168</v>
      </c>
      <c r="L730" s="232">
        <f t="shared" si="133"/>
        <v>24731.4</v>
      </c>
      <c r="M730" s="232">
        <f t="shared" si="133"/>
        <v>0</v>
      </c>
      <c r="N730" s="232">
        <f t="shared" si="133"/>
        <v>24731.4</v>
      </c>
    </row>
    <row r="731" spans="1:15" ht="25.5" x14ac:dyDescent="0.25">
      <c r="A731" s="225"/>
      <c r="B731" s="7"/>
      <c r="C731" s="230" t="s">
        <v>9</v>
      </c>
      <c r="D731" s="229"/>
      <c r="E731" s="233" t="s">
        <v>10</v>
      </c>
      <c r="F731" s="491">
        <f t="shared" si="133"/>
        <v>25376.600000000002</v>
      </c>
      <c r="G731" s="491">
        <f t="shared" si="133"/>
        <v>-1135.5</v>
      </c>
      <c r="H731" s="491">
        <f t="shared" si="133"/>
        <v>24241.100000000002</v>
      </c>
      <c r="I731" s="232">
        <f t="shared" si="133"/>
        <v>25168</v>
      </c>
      <c r="J731" s="232">
        <f t="shared" si="133"/>
        <v>0</v>
      </c>
      <c r="K731" s="232">
        <f t="shared" si="133"/>
        <v>25168</v>
      </c>
      <c r="L731" s="232">
        <f t="shared" si="133"/>
        <v>24731.4</v>
      </c>
      <c r="M731" s="232">
        <f t="shared" si="133"/>
        <v>0</v>
      </c>
      <c r="N731" s="232">
        <f t="shared" si="133"/>
        <v>24731.4</v>
      </c>
    </row>
    <row r="732" spans="1:15" ht="25.5" x14ac:dyDescent="0.25">
      <c r="A732" s="260"/>
      <c r="B732" s="235"/>
      <c r="C732" s="236" t="s">
        <v>56</v>
      </c>
      <c r="D732" s="235"/>
      <c r="E732" s="237" t="s">
        <v>57</v>
      </c>
      <c r="F732" s="492">
        <f>F737+F745+F733</f>
        <v>25376.600000000002</v>
      </c>
      <c r="G732" s="492">
        <f>G737+G745+G733</f>
        <v>-1135.5</v>
      </c>
      <c r="H732" s="492">
        <f>H737+H745+H733</f>
        <v>24241.100000000002</v>
      </c>
      <c r="I732" s="238">
        <f>I737+I745</f>
        <v>25168</v>
      </c>
      <c r="J732" s="238">
        <f>J737+J745+J733</f>
        <v>0</v>
      </c>
      <c r="K732" s="238">
        <f>K737+K745</f>
        <v>25168</v>
      </c>
      <c r="L732" s="238">
        <f>L737+L745</f>
        <v>24731.4</v>
      </c>
      <c r="M732" s="238">
        <f>M737+M745+M733</f>
        <v>0</v>
      </c>
      <c r="N732" s="238">
        <f>N737+N745</f>
        <v>24731.4</v>
      </c>
    </row>
    <row r="733" spans="1:15" s="42" customFormat="1" x14ac:dyDescent="0.25">
      <c r="A733" s="338"/>
      <c r="B733" s="240"/>
      <c r="C733" s="288" t="s">
        <v>58</v>
      </c>
      <c r="D733" s="240"/>
      <c r="E733" s="339" t="s">
        <v>59</v>
      </c>
      <c r="F733" s="514">
        <f>F736</f>
        <v>112.9</v>
      </c>
      <c r="G733" s="514"/>
      <c r="H733" s="514">
        <f>H736</f>
        <v>112.9</v>
      </c>
      <c r="I733" s="243">
        <f>I736</f>
        <v>0</v>
      </c>
      <c r="J733" s="243"/>
      <c r="K733" s="243">
        <f>K736</f>
        <v>0</v>
      </c>
      <c r="L733" s="243">
        <f>L736</f>
        <v>0</v>
      </c>
      <c r="M733" s="243"/>
      <c r="N733" s="243">
        <f>N736</f>
        <v>0</v>
      </c>
    </row>
    <row r="734" spans="1:15" s="42" customFormat="1" ht="26.25" x14ac:dyDescent="0.25">
      <c r="A734" s="254"/>
      <c r="B734" s="34"/>
      <c r="C734" s="245" t="s">
        <v>60</v>
      </c>
      <c r="D734" s="34"/>
      <c r="E734" s="352" t="s">
        <v>61</v>
      </c>
      <c r="F734" s="494">
        <f>F736</f>
        <v>112.9</v>
      </c>
      <c r="G734" s="494"/>
      <c r="H734" s="494">
        <f>H736</f>
        <v>112.9</v>
      </c>
      <c r="I734" s="247">
        <f>I736</f>
        <v>0</v>
      </c>
      <c r="J734" s="247"/>
      <c r="K734" s="247">
        <f>K736</f>
        <v>0</v>
      </c>
      <c r="L734" s="247">
        <f>L736</f>
        <v>0</v>
      </c>
      <c r="M734" s="247"/>
      <c r="N734" s="247">
        <f>N736</f>
        <v>0</v>
      </c>
    </row>
    <row r="735" spans="1:15" s="42" customFormat="1" ht="25.5" x14ac:dyDescent="0.25">
      <c r="A735" s="340"/>
      <c r="B735" s="10"/>
      <c r="C735" s="313" t="s">
        <v>458</v>
      </c>
      <c r="D735" s="9"/>
      <c r="E735" s="28" t="s">
        <v>95</v>
      </c>
      <c r="F735" s="472">
        <f>F736</f>
        <v>112.9</v>
      </c>
      <c r="G735" s="472"/>
      <c r="H735" s="472">
        <f>H736</f>
        <v>112.9</v>
      </c>
      <c r="I735" s="29">
        <f>I736</f>
        <v>0</v>
      </c>
      <c r="J735" s="29"/>
      <c r="K735" s="29">
        <f>K736</f>
        <v>0</v>
      </c>
      <c r="L735" s="29">
        <f>L736</f>
        <v>0</v>
      </c>
      <c r="M735" s="29"/>
      <c r="N735" s="29">
        <f>N736</f>
        <v>0</v>
      </c>
      <c r="O735" s="341"/>
    </row>
    <row r="736" spans="1:15" s="42" customFormat="1" ht="25.5" x14ac:dyDescent="0.25">
      <c r="A736" s="340"/>
      <c r="B736" s="10"/>
      <c r="C736" s="313"/>
      <c r="D736" s="9" t="s">
        <v>64</v>
      </c>
      <c r="E736" s="28" t="s">
        <v>65</v>
      </c>
      <c r="F736" s="472">
        <v>112.9</v>
      </c>
      <c r="G736" s="472"/>
      <c r="H736" s="472">
        <v>112.9</v>
      </c>
      <c r="I736" s="29">
        <v>0</v>
      </c>
      <c r="J736" s="29"/>
      <c r="K736" s="29">
        <v>0</v>
      </c>
      <c r="L736" s="29">
        <v>0</v>
      </c>
      <c r="M736" s="29"/>
      <c r="N736" s="29">
        <v>0</v>
      </c>
    </row>
    <row r="737" spans="1:15" x14ac:dyDescent="0.25">
      <c r="A737" s="291"/>
      <c r="B737" s="333"/>
      <c r="C737" s="288" t="s">
        <v>76</v>
      </c>
      <c r="D737" s="287"/>
      <c r="E737" s="295" t="s">
        <v>77</v>
      </c>
      <c r="F737" s="493">
        <f t="shared" ref="F737:N737" si="134">F738</f>
        <v>13599.400000000001</v>
      </c>
      <c r="G737" s="493">
        <f t="shared" si="134"/>
        <v>-1894</v>
      </c>
      <c r="H737" s="493">
        <f t="shared" si="134"/>
        <v>11705.400000000001</v>
      </c>
      <c r="I737" s="290">
        <f t="shared" si="134"/>
        <v>13643.3</v>
      </c>
      <c r="J737" s="290">
        <f t="shared" si="134"/>
        <v>0</v>
      </c>
      <c r="K737" s="290">
        <f t="shared" si="134"/>
        <v>13643.3</v>
      </c>
      <c r="L737" s="290">
        <f t="shared" si="134"/>
        <v>13363.4</v>
      </c>
      <c r="M737" s="290">
        <f t="shared" si="134"/>
        <v>0</v>
      </c>
      <c r="N737" s="290">
        <f t="shared" si="134"/>
        <v>13363.4</v>
      </c>
    </row>
    <row r="738" spans="1:15" ht="38.25" x14ac:dyDescent="0.25">
      <c r="A738" s="254"/>
      <c r="B738" s="34"/>
      <c r="C738" s="245" t="s">
        <v>90</v>
      </c>
      <c r="D738" s="34"/>
      <c r="E738" s="246" t="s">
        <v>91</v>
      </c>
      <c r="F738" s="494">
        <f t="shared" ref="F738:N738" si="135">+F743+F739+F741</f>
        <v>13599.400000000001</v>
      </c>
      <c r="G738" s="494">
        <f t="shared" si="135"/>
        <v>-1894</v>
      </c>
      <c r="H738" s="494">
        <f t="shared" si="135"/>
        <v>11705.400000000001</v>
      </c>
      <c r="I738" s="247">
        <f t="shared" si="135"/>
        <v>13643.3</v>
      </c>
      <c r="J738" s="247">
        <f t="shared" si="135"/>
        <v>0</v>
      </c>
      <c r="K738" s="247">
        <f t="shared" si="135"/>
        <v>13643.3</v>
      </c>
      <c r="L738" s="247">
        <f t="shared" si="135"/>
        <v>13363.4</v>
      </c>
      <c r="M738" s="247">
        <f t="shared" si="135"/>
        <v>0</v>
      </c>
      <c r="N738" s="247">
        <f t="shared" si="135"/>
        <v>13363.4</v>
      </c>
    </row>
    <row r="739" spans="1:15" ht="25.5" x14ac:dyDescent="0.25">
      <c r="A739" s="229"/>
      <c r="B739" s="7"/>
      <c r="C739" s="248" t="s">
        <v>100</v>
      </c>
      <c r="D739" s="27"/>
      <c r="E739" s="28" t="s">
        <v>973</v>
      </c>
      <c r="F739" s="472">
        <f t="shared" ref="F739:N739" si="136">F740</f>
        <v>5545.5</v>
      </c>
      <c r="G739" s="470">
        <f>G740</f>
        <v>-933.8</v>
      </c>
      <c r="H739" s="472">
        <f t="shared" si="136"/>
        <v>4611.7</v>
      </c>
      <c r="I739" s="29">
        <f t="shared" si="136"/>
        <v>5923.9</v>
      </c>
      <c r="J739" s="160">
        <f>J740</f>
        <v>0</v>
      </c>
      <c r="K739" s="29">
        <f t="shared" si="136"/>
        <v>5923.9</v>
      </c>
      <c r="L739" s="29">
        <f t="shared" si="136"/>
        <v>5815.6</v>
      </c>
      <c r="M739" s="160">
        <f>M740</f>
        <v>0</v>
      </c>
      <c r="N739" s="29">
        <f t="shared" si="136"/>
        <v>5815.6</v>
      </c>
    </row>
    <row r="740" spans="1:15" ht="25.5" x14ac:dyDescent="0.25">
      <c r="A740" s="225"/>
      <c r="B740" s="27"/>
      <c r="C740" s="248"/>
      <c r="D740" s="27" t="s">
        <v>64</v>
      </c>
      <c r="E740" s="30" t="s">
        <v>65</v>
      </c>
      <c r="F740" s="472">
        <v>5545.5</v>
      </c>
      <c r="G740" s="470">
        <v>-933.8</v>
      </c>
      <c r="H740" s="472">
        <f>SUM(F740:G740)</f>
        <v>4611.7</v>
      </c>
      <c r="I740" s="29">
        <v>5923.9</v>
      </c>
      <c r="J740" s="160"/>
      <c r="K740" s="29">
        <f>SUM(I740:J740)</f>
        <v>5923.9</v>
      </c>
      <c r="L740" s="29">
        <v>5815.6</v>
      </c>
      <c r="M740" s="160"/>
      <c r="N740" s="29">
        <f>SUM(L740:M740)</f>
        <v>5815.6</v>
      </c>
    </row>
    <row r="741" spans="1:15" ht="25.5" x14ac:dyDescent="0.25">
      <c r="A741" s="225"/>
      <c r="B741" s="27"/>
      <c r="C741" s="248" t="s">
        <v>101</v>
      </c>
      <c r="D741" s="27"/>
      <c r="E741" s="28" t="s">
        <v>975</v>
      </c>
      <c r="F741" s="472">
        <f t="shared" ref="F741:N741" si="137">F742</f>
        <v>7084.8</v>
      </c>
      <c r="G741" s="470">
        <f t="shared" si="137"/>
        <v>-960.2</v>
      </c>
      <c r="H741" s="472">
        <f t="shared" si="137"/>
        <v>6124.6</v>
      </c>
      <c r="I741" s="29">
        <f t="shared" si="137"/>
        <v>7184</v>
      </c>
      <c r="J741" s="160">
        <f t="shared" si="137"/>
        <v>0</v>
      </c>
      <c r="K741" s="29">
        <f t="shared" si="137"/>
        <v>7184</v>
      </c>
      <c r="L741" s="29">
        <f t="shared" si="137"/>
        <v>7012.4</v>
      </c>
      <c r="M741" s="160">
        <f t="shared" si="137"/>
        <v>0</v>
      </c>
      <c r="N741" s="29">
        <f t="shared" si="137"/>
        <v>7012.4</v>
      </c>
    </row>
    <row r="742" spans="1:15" ht="25.5" x14ac:dyDescent="0.25">
      <c r="A742" s="225"/>
      <c r="B742" s="27"/>
      <c r="C742" s="248"/>
      <c r="D742" s="27" t="s">
        <v>64</v>
      </c>
      <c r="E742" s="28" t="s">
        <v>65</v>
      </c>
      <c r="F742" s="472">
        <v>7084.8</v>
      </c>
      <c r="G742" s="470">
        <v>-960.2</v>
      </c>
      <c r="H742" s="472">
        <f>SUM(F742:G742)</f>
        <v>6124.6</v>
      </c>
      <c r="I742" s="29">
        <v>7184</v>
      </c>
      <c r="J742" s="160"/>
      <c r="K742" s="29">
        <f>SUM(I742:J742)</f>
        <v>7184</v>
      </c>
      <c r="L742" s="29">
        <v>7012.4</v>
      </c>
      <c r="M742" s="160"/>
      <c r="N742" s="29">
        <f>SUM(L742:M742)</f>
        <v>7012.4</v>
      </c>
    </row>
    <row r="743" spans="1:15" s="45" customFormat="1" ht="25.5" x14ac:dyDescent="0.25">
      <c r="A743" s="225"/>
      <c r="B743" s="27"/>
      <c r="C743" s="248" t="s">
        <v>94</v>
      </c>
      <c r="D743" s="27"/>
      <c r="E743" s="28" t="s">
        <v>95</v>
      </c>
      <c r="F743" s="472">
        <f>F744</f>
        <v>969.1</v>
      </c>
      <c r="G743" s="472">
        <f>G744</f>
        <v>0</v>
      </c>
      <c r="H743" s="472">
        <f>H744</f>
        <v>969.1</v>
      </c>
      <c r="I743" s="29">
        <f>I744</f>
        <v>535.4</v>
      </c>
      <c r="J743" s="29"/>
      <c r="K743" s="29">
        <f>K744</f>
        <v>535.4</v>
      </c>
      <c r="L743" s="29">
        <f>L744</f>
        <v>535.4</v>
      </c>
      <c r="M743" s="29"/>
      <c r="N743" s="29">
        <f>N744</f>
        <v>535.4</v>
      </c>
    </row>
    <row r="744" spans="1:15" ht="28.5" customHeight="1" x14ac:dyDescent="0.25">
      <c r="A744" s="225"/>
      <c r="B744" s="27"/>
      <c r="C744" s="248"/>
      <c r="D744" s="27" t="s">
        <v>64</v>
      </c>
      <c r="E744" s="28" t="s">
        <v>65</v>
      </c>
      <c r="F744" s="472">
        <v>969.1</v>
      </c>
      <c r="G744" s="472"/>
      <c r="H744" s="472">
        <f>SUM(F744:G744)</f>
        <v>969.1</v>
      </c>
      <c r="I744" s="29">
        <v>535.4</v>
      </c>
      <c r="J744" s="29"/>
      <c r="K744" s="29">
        <v>535.4</v>
      </c>
      <c r="L744" s="29">
        <v>535.4</v>
      </c>
      <c r="M744" s="29"/>
      <c r="N744" s="29">
        <v>535.4</v>
      </c>
      <c r="O744" s="342"/>
    </row>
    <row r="745" spans="1:15" x14ac:dyDescent="0.25">
      <c r="A745" s="291"/>
      <c r="B745" s="287"/>
      <c r="C745" s="288" t="s">
        <v>125</v>
      </c>
      <c r="D745" s="287"/>
      <c r="E745" s="289" t="s">
        <v>126</v>
      </c>
      <c r="F745" s="493">
        <f>F746</f>
        <v>11664.3</v>
      </c>
      <c r="G745" s="493">
        <f>G746</f>
        <v>758.5</v>
      </c>
      <c r="H745" s="493">
        <f>H746</f>
        <v>12422.8</v>
      </c>
      <c r="I745" s="290">
        <f>I746</f>
        <v>11524.7</v>
      </c>
      <c r="J745" s="290"/>
      <c r="K745" s="290">
        <f>K746</f>
        <v>11524.7</v>
      </c>
      <c r="L745" s="290">
        <f>L746</f>
        <v>11368</v>
      </c>
      <c r="M745" s="290"/>
      <c r="N745" s="290">
        <f>N746</f>
        <v>11368</v>
      </c>
    </row>
    <row r="746" spans="1:15" ht="25.5" x14ac:dyDescent="0.25">
      <c r="A746" s="254"/>
      <c r="B746" s="34"/>
      <c r="C746" s="245" t="s">
        <v>133</v>
      </c>
      <c r="D746" s="34"/>
      <c r="E746" s="296" t="s">
        <v>134</v>
      </c>
      <c r="F746" s="494">
        <f>F747+F753+F750</f>
        <v>11664.3</v>
      </c>
      <c r="G746" s="494">
        <f>G747+G753+G750</f>
        <v>758.5</v>
      </c>
      <c r="H746" s="494">
        <f>H747+H753+H750</f>
        <v>12422.8</v>
      </c>
      <c r="I746" s="247">
        <f>I747+I753+I750</f>
        <v>11524.7</v>
      </c>
      <c r="J746" s="247"/>
      <c r="K746" s="247">
        <f>K747+K753+K750</f>
        <v>11524.7</v>
      </c>
      <c r="L746" s="247">
        <f>L747+L753+L750</f>
        <v>11368</v>
      </c>
      <c r="M746" s="247"/>
      <c r="N746" s="247">
        <f>N747+N753+N750</f>
        <v>11368</v>
      </c>
    </row>
    <row r="747" spans="1:15" ht="51" x14ac:dyDescent="0.25">
      <c r="A747" s="225"/>
      <c r="B747" s="27"/>
      <c r="C747" s="248" t="s">
        <v>136</v>
      </c>
      <c r="D747" s="27"/>
      <c r="E747" s="28" t="s">
        <v>929</v>
      </c>
      <c r="F747" s="472">
        <f>F748+F749</f>
        <v>11050.8</v>
      </c>
      <c r="G747" s="472">
        <f>G748+G749</f>
        <v>738.9</v>
      </c>
      <c r="H747" s="472">
        <f>H748+H749</f>
        <v>11789.7</v>
      </c>
      <c r="I747" s="29">
        <f>I748+I749</f>
        <v>11050.8</v>
      </c>
      <c r="J747" s="29"/>
      <c r="K747" s="29">
        <f>K748+K749</f>
        <v>11050.8</v>
      </c>
      <c r="L747" s="29">
        <f>L748+L749</f>
        <v>11050.8</v>
      </c>
      <c r="M747" s="29"/>
      <c r="N747" s="29">
        <f>N748+N749</f>
        <v>11050.8</v>
      </c>
    </row>
    <row r="748" spans="1:15" x14ac:dyDescent="0.25">
      <c r="A748" s="229"/>
      <c r="B748" s="27"/>
      <c r="C748" s="248"/>
      <c r="D748" s="27" t="s">
        <v>37</v>
      </c>
      <c r="E748" s="28" t="s">
        <v>38</v>
      </c>
      <c r="F748" s="472">
        <v>4721</v>
      </c>
      <c r="G748" s="472">
        <v>738.9</v>
      </c>
      <c r="H748" s="472">
        <f>SUM(F748:G748)</f>
        <v>5459.9</v>
      </c>
      <c r="I748" s="29">
        <v>4721</v>
      </c>
      <c r="J748" s="29"/>
      <c r="K748" s="29">
        <v>4721</v>
      </c>
      <c r="L748" s="29">
        <v>4721</v>
      </c>
      <c r="M748" s="29"/>
      <c r="N748" s="29">
        <v>4721</v>
      </c>
    </row>
    <row r="749" spans="1:15" ht="25.5" x14ac:dyDescent="0.25">
      <c r="A749" s="229"/>
      <c r="B749" s="27"/>
      <c r="C749" s="248"/>
      <c r="D749" s="27" t="s">
        <v>64</v>
      </c>
      <c r="E749" s="28" t="s">
        <v>65</v>
      </c>
      <c r="F749" s="472">
        <v>6329.8</v>
      </c>
      <c r="G749" s="472"/>
      <c r="H749" s="472">
        <v>6329.8</v>
      </c>
      <c r="I749" s="29">
        <v>6329.8</v>
      </c>
      <c r="J749" s="29"/>
      <c r="K749" s="29">
        <v>6329.8</v>
      </c>
      <c r="L749" s="29">
        <v>6329.8</v>
      </c>
      <c r="M749" s="29"/>
      <c r="N749" s="29">
        <v>6329.8</v>
      </c>
    </row>
    <row r="750" spans="1:15" ht="25.5" x14ac:dyDescent="0.25">
      <c r="A750" s="229"/>
      <c r="B750" s="27"/>
      <c r="C750" s="248" t="s">
        <v>135</v>
      </c>
      <c r="D750" s="27"/>
      <c r="E750" s="28" t="s">
        <v>915</v>
      </c>
      <c r="F750" s="496">
        <f>F752+F751</f>
        <v>456.79999999999995</v>
      </c>
      <c r="G750" s="496"/>
      <c r="H750" s="496">
        <f>H752+H751</f>
        <v>456.79999999999995</v>
      </c>
      <c r="I750" s="252">
        <f>I752</f>
        <v>317.2</v>
      </c>
      <c r="J750" s="252"/>
      <c r="K750" s="252">
        <f>K752</f>
        <v>317.2</v>
      </c>
      <c r="L750" s="252">
        <f>L752</f>
        <v>317.2</v>
      </c>
      <c r="M750" s="252"/>
      <c r="N750" s="252">
        <f>N752</f>
        <v>317.2</v>
      </c>
    </row>
    <row r="751" spans="1:15" x14ac:dyDescent="0.25">
      <c r="A751" s="229"/>
      <c r="B751" s="27"/>
      <c r="C751" s="248"/>
      <c r="D751" s="27" t="s">
        <v>37</v>
      </c>
      <c r="E751" s="28" t="s">
        <v>38</v>
      </c>
      <c r="F751" s="496">
        <v>93.4</v>
      </c>
      <c r="G751" s="598">
        <v>-12.88</v>
      </c>
      <c r="H751" s="496">
        <f>SUM(F751:G751)</f>
        <v>80.52000000000001</v>
      </c>
      <c r="I751" s="252"/>
      <c r="J751" s="252"/>
      <c r="K751" s="252">
        <v>0</v>
      </c>
      <c r="L751" s="252"/>
      <c r="M751" s="252"/>
      <c r="N751" s="252">
        <v>0</v>
      </c>
    </row>
    <row r="752" spans="1:15" ht="25.5" x14ac:dyDescent="0.25">
      <c r="A752" s="229"/>
      <c r="B752" s="27"/>
      <c r="C752" s="248"/>
      <c r="D752" s="225">
        <v>600</v>
      </c>
      <c r="E752" s="28" t="s">
        <v>65</v>
      </c>
      <c r="F752" s="496">
        <v>363.4</v>
      </c>
      <c r="G752" s="598">
        <v>12.88</v>
      </c>
      <c r="H752" s="496">
        <f>SUM(F752:G752)</f>
        <v>376.28</v>
      </c>
      <c r="I752" s="252">
        <v>317.2</v>
      </c>
      <c r="J752" s="252"/>
      <c r="K752" s="252">
        <v>317.2</v>
      </c>
      <c r="L752" s="252">
        <v>317.2</v>
      </c>
      <c r="M752" s="252"/>
      <c r="N752" s="252">
        <v>317.2</v>
      </c>
    </row>
    <row r="753" spans="1:14" ht="25.5" x14ac:dyDescent="0.25">
      <c r="A753" s="229"/>
      <c r="B753" s="27"/>
      <c r="C753" s="248" t="s">
        <v>137</v>
      </c>
      <c r="D753" s="27"/>
      <c r="E753" s="28" t="s">
        <v>138</v>
      </c>
      <c r="F753" s="472">
        <f>F754</f>
        <v>156.69999999999999</v>
      </c>
      <c r="G753" s="472">
        <f>G754</f>
        <v>19.600000000000001</v>
      </c>
      <c r="H753" s="472">
        <f>H754</f>
        <v>176.3</v>
      </c>
      <c r="I753" s="29">
        <f>I754</f>
        <v>156.69999999999999</v>
      </c>
      <c r="J753" s="29"/>
      <c r="K753" s="29">
        <f>K754</f>
        <v>156.69999999999999</v>
      </c>
      <c r="L753" s="29">
        <v>0</v>
      </c>
      <c r="M753" s="29"/>
      <c r="N753" s="29">
        <v>0</v>
      </c>
    </row>
    <row r="754" spans="1:14" ht="25.5" x14ac:dyDescent="0.25">
      <c r="A754" s="225"/>
      <c r="B754" s="27"/>
      <c r="C754" s="248"/>
      <c r="D754" s="27" t="s">
        <v>17</v>
      </c>
      <c r="E754" s="30" t="s">
        <v>18</v>
      </c>
      <c r="F754" s="472">
        <f>SUM(F755:F756)</f>
        <v>156.69999999999999</v>
      </c>
      <c r="G754" s="472">
        <f>G755+G756</f>
        <v>19.600000000000001</v>
      </c>
      <c r="H754" s="472">
        <f>SUM(H755:H756)</f>
        <v>176.3</v>
      </c>
      <c r="I754" s="29">
        <f>SUM(I755:I756)</f>
        <v>156.69999999999999</v>
      </c>
      <c r="J754" s="29"/>
      <c r="K754" s="29">
        <f>SUM(K755:K756)</f>
        <v>156.69999999999999</v>
      </c>
      <c r="L754" s="29">
        <v>0</v>
      </c>
      <c r="M754" s="29"/>
      <c r="N754" s="29">
        <v>0</v>
      </c>
    </row>
    <row r="755" spans="1:14" x14ac:dyDescent="0.25">
      <c r="A755" s="225"/>
      <c r="B755" s="27"/>
      <c r="C755" s="248"/>
      <c r="D755" s="27"/>
      <c r="E755" s="28" t="s">
        <v>87</v>
      </c>
      <c r="F755" s="472">
        <v>104.5</v>
      </c>
      <c r="G755" s="472">
        <v>13.05</v>
      </c>
      <c r="H755" s="472">
        <f>SUM(F755:G755)</f>
        <v>117.55</v>
      </c>
      <c r="I755" s="29">
        <v>104.5</v>
      </c>
      <c r="J755" s="29"/>
      <c r="K755" s="29">
        <v>104.5</v>
      </c>
      <c r="L755" s="29">
        <v>0</v>
      </c>
      <c r="M755" s="29"/>
      <c r="N755" s="29">
        <v>0</v>
      </c>
    </row>
    <row r="756" spans="1:14" x14ac:dyDescent="0.25">
      <c r="A756" s="229"/>
      <c r="B756" s="27"/>
      <c r="C756" s="248"/>
      <c r="D756" s="27"/>
      <c r="E756" s="28" t="s">
        <v>88</v>
      </c>
      <c r="F756" s="472">
        <v>52.2</v>
      </c>
      <c r="G756" s="472">
        <v>6.55</v>
      </c>
      <c r="H756" s="472">
        <f>SUM(F756:G756)</f>
        <v>58.75</v>
      </c>
      <c r="I756" s="29">
        <v>52.2</v>
      </c>
      <c r="J756" s="29"/>
      <c r="K756" s="29">
        <v>52.2</v>
      </c>
      <c r="L756" s="29">
        <v>0</v>
      </c>
      <c r="M756" s="29"/>
      <c r="N756" s="29">
        <v>0</v>
      </c>
    </row>
    <row r="757" spans="1:14" x14ac:dyDescent="0.25">
      <c r="A757" s="229"/>
      <c r="B757" s="7">
        <v>1004</v>
      </c>
      <c r="C757" s="230"/>
      <c r="D757" s="229"/>
      <c r="E757" s="231" t="s">
        <v>903</v>
      </c>
      <c r="F757" s="491">
        <f t="shared" ref="F757:N762" si="138">F758</f>
        <v>2985.8</v>
      </c>
      <c r="G757" s="491">
        <f t="shared" si="138"/>
        <v>139.797</v>
      </c>
      <c r="H757" s="491">
        <f t="shared" si="138"/>
        <v>3125.5970000000002</v>
      </c>
      <c r="I757" s="232">
        <f t="shared" si="138"/>
        <v>3831.2</v>
      </c>
      <c r="J757" s="232"/>
      <c r="K757" s="232">
        <f t="shared" si="138"/>
        <v>3831.2</v>
      </c>
      <c r="L757" s="232">
        <f t="shared" si="138"/>
        <v>3519.6</v>
      </c>
      <c r="M757" s="232"/>
      <c r="N757" s="232">
        <f t="shared" si="138"/>
        <v>3519.6</v>
      </c>
    </row>
    <row r="758" spans="1:14" x14ac:dyDescent="0.25">
      <c r="A758" s="229"/>
      <c r="B758" s="7"/>
      <c r="C758" s="230" t="s">
        <v>9</v>
      </c>
      <c r="D758" s="7"/>
      <c r="E758" s="30" t="s">
        <v>848</v>
      </c>
      <c r="F758" s="472">
        <f t="shared" si="138"/>
        <v>2985.8</v>
      </c>
      <c r="G758" s="472">
        <f t="shared" si="138"/>
        <v>139.797</v>
      </c>
      <c r="H758" s="472">
        <f t="shared" si="138"/>
        <v>3125.5970000000002</v>
      </c>
      <c r="I758" s="29">
        <f t="shared" si="138"/>
        <v>3831.2</v>
      </c>
      <c r="J758" s="29"/>
      <c r="K758" s="29">
        <f t="shared" si="138"/>
        <v>3831.2</v>
      </c>
      <c r="L758" s="29">
        <f t="shared" si="138"/>
        <v>3519.6</v>
      </c>
      <c r="M758" s="29"/>
      <c r="N758" s="29">
        <f t="shared" si="138"/>
        <v>3519.6</v>
      </c>
    </row>
    <row r="759" spans="1:14" ht="25.5" x14ac:dyDescent="0.25">
      <c r="A759" s="234"/>
      <c r="B759" s="235"/>
      <c r="C759" s="236" t="s">
        <v>56</v>
      </c>
      <c r="D759" s="235"/>
      <c r="E759" s="237" t="s">
        <v>57</v>
      </c>
      <c r="F759" s="503">
        <f t="shared" si="138"/>
        <v>2985.8</v>
      </c>
      <c r="G759" s="503">
        <f t="shared" si="138"/>
        <v>139.797</v>
      </c>
      <c r="H759" s="503">
        <f t="shared" si="138"/>
        <v>3125.5970000000002</v>
      </c>
      <c r="I759" s="299">
        <f t="shared" si="138"/>
        <v>3831.2</v>
      </c>
      <c r="J759" s="299"/>
      <c r="K759" s="299">
        <f t="shared" si="138"/>
        <v>3831.2</v>
      </c>
      <c r="L759" s="299">
        <f t="shared" si="138"/>
        <v>3519.6</v>
      </c>
      <c r="M759" s="299"/>
      <c r="N759" s="299">
        <f t="shared" si="138"/>
        <v>3519.6</v>
      </c>
    </row>
    <row r="760" spans="1:14" x14ac:dyDescent="0.25">
      <c r="A760" s="294"/>
      <c r="B760" s="287"/>
      <c r="C760" s="288" t="s">
        <v>58</v>
      </c>
      <c r="D760" s="287"/>
      <c r="E760" s="295" t="s">
        <v>59</v>
      </c>
      <c r="F760" s="515">
        <f t="shared" si="138"/>
        <v>2985.8</v>
      </c>
      <c r="G760" s="515">
        <f t="shared" si="138"/>
        <v>139.797</v>
      </c>
      <c r="H760" s="515">
        <f t="shared" si="138"/>
        <v>3125.5970000000002</v>
      </c>
      <c r="I760" s="334">
        <f t="shared" si="138"/>
        <v>3831.2</v>
      </c>
      <c r="J760" s="334"/>
      <c r="K760" s="334">
        <f t="shared" si="138"/>
        <v>3831.2</v>
      </c>
      <c r="L760" s="334">
        <f t="shared" si="138"/>
        <v>3519.6</v>
      </c>
      <c r="M760" s="334"/>
      <c r="N760" s="334">
        <f t="shared" si="138"/>
        <v>3519.6</v>
      </c>
    </row>
    <row r="761" spans="1:14" ht="38.25" x14ac:dyDescent="0.25">
      <c r="A761" s="254"/>
      <c r="B761" s="34"/>
      <c r="C761" s="245" t="s">
        <v>60</v>
      </c>
      <c r="D761" s="34"/>
      <c r="E761" s="246" t="s">
        <v>79</v>
      </c>
      <c r="F761" s="495">
        <f t="shared" si="138"/>
        <v>2985.8</v>
      </c>
      <c r="G761" s="495">
        <f t="shared" si="138"/>
        <v>139.797</v>
      </c>
      <c r="H761" s="495">
        <f t="shared" si="138"/>
        <v>3125.5970000000002</v>
      </c>
      <c r="I761" s="250">
        <f t="shared" si="138"/>
        <v>3831.2</v>
      </c>
      <c r="J761" s="250"/>
      <c r="K761" s="250">
        <f t="shared" si="138"/>
        <v>3831.2</v>
      </c>
      <c r="L761" s="250">
        <f t="shared" si="138"/>
        <v>3519.6</v>
      </c>
      <c r="M761" s="250"/>
      <c r="N761" s="250">
        <f t="shared" si="138"/>
        <v>3519.6</v>
      </c>
    </row>
    <row r="762" spans="1:14" ht="38.25" x14ac:dyDescent="0.25">
      <c r="A762" s="225"/>
      <c r="B762" s="27"/>
      <c r="C762" s="248" t="s">
        <v>68</v>
      </c>
      <c r="D762" s="27"/>
      <c r="E762" s="28" t="s">
        <v>69</v>
      </c>
      <c r="F762" s="496">
        <f t="shared" si="138"/>
        <v>2985.8</v>
      </c>
      <c r="G762" s="598">
        <f t="shared" si="138"/>
        <v>139.797</v>
      </c>
      <c r="H762" s="496">
        <f t="shared" si="138"/>
        <v>3125.5970000000002</v>
      </c>
      <c r="I762" s="252">
        <f t="shared" si="138"/>
        <v>3831.2</v>
      </c>
      <c r="J762" s="252"/>
      <c r="K762" s="252">
        <f t="shared" si="138"/>
        <v>3831.2</v>
      </c>
      <c r="L762" s="252">
        <f t="shared" si="138"/>
        <v>3519.6</v>
      </c>
      <c r="M762" s="252"/>
      <c r="N762" s="252">
        <f t="shared" si="138"/>
        <v>3519.6</v>
      </c>
    </row>
    <row r="763" spans="1:14" ht="25.5" x14ac:dyDescent="0.25">
      <c r="A763" s="229"/>
      <c r="B763" s="27"/>
      <c r="C763" s="248"/>
      <c r="D763" s="27" t="s">
        <v>64</v>
      </c>
      <c r="E763" s="28" t="s">
        <v>65</v>
      </c>
      <c r="F763" s="472">
        <v>2985.8</v>
      </c>
      <c r="G763" s="473">
        <v>139.797</v>
      </c>
      <c r="H763" s="472">
        <f>SUM(F763:G763)</f>
        <v>3125.5970000000002</v>
      </c>
      <c r="I763" s="29">
        <v>3831.2</v>
      </c>
      <c r="J763" s="29"/>
      <c r="K763" s="29">
        <v>3831.2</v>
      </c>
      <c r="L763" s="29">
        <v>3519.6</v>
      </c>
      <c r="M763" s="29"/>
      <c r="N763" s="29">
        <v>3519.6</v>
      </c>
    </row>
    <row r="764" spans="1:14" x14ac:dyDescent="0.25">
      <c r="A764" s="225"/>
      <c r="B764" s="7">
        <v>1100</v>
      </c>
      <c r="C764" s="230"/>
      <c r="D764" s="229"/>
      <c r="E764" s="231" t="s">
        <v>930</v>
      </c>
      <c r="F764" s="491">
        <f t="shared" ref="F764:N766" si="139">F765</f>
        <v>9113.9000000000015</v>
      </c>
      <c r="G764" s="491">
        <f t="shared" si="139"/>
        <v>115.66</v>
      </c>
      <c r="H764" s="491">
        <f t="shared" si="139"/>
        <v>9229.56</v>
      </c>
      <c r="I764" s="232">
        <f t="shared" si="139"/>
        <v>118.2</v>
      </c>
      <c r="J764" s="232">
        <f t="shared" si="139"/>
        <v>875</v>
      </c>
      <c r="K764" s="232">
        <f t="shared" si="139"/>
        <v>993.2</v>
      </c>
      <c r="L764" s="232">
        <f t="shared" si="139"/>
        <v>118.2</v>
      </c>
      <c r="M764" s="232"/>
      <c r="N764" s="232">
        <f t="shared" si="139"/>
        <v>118.2</v>
      </c>
    </row>
    <row r="765" spans="1:14" ht="17.25" customHeight="1" x14ac:dyDescent="0.25">
      <c r="A765" s="225"/>
      <c r="B765" s="7" t="s">
        <v>931</v>
      </c>
      <c r="C765" s="230"/>
      <c r="D765" s="7"/>
      <c r="E765" s="233" t="s">
        <v>932</v>
      </c>
      <c r="F765" s="502">
        <f t="shared" si="139"/>
        <v>9113.9000000000015</v>
      </c>
      <c r="G765" s="502">
        <f t="shared" si="139"/>
        <v>115.66</v>
      </c>
      <c r="H765" s="502">
        <f t="shared" si="139"/>
        <v>9229.56</v>
      </c>
      <c r="I765" s="297">
        <f t="shared" si="139"/>
        <v>118.2</v>
      </c>
      <c r="J765" s="297">
        <f t="shared" si="139"/>
        <v>875</v>
      </c>
      <c r="K765" s="297">
        <f t="shared" si="139"/>
        <v>993.2</v>
      </c>
      <c r="L765" s="297">
        <f t="shared" si="139"/>
        <v>118.2</v>
      </c>
      <c r="M765" s="297"/>
      <c r="N765" s="297">
        <f t="shared" si="139"/>
        <v>118.2</v>
      </c>
    </row>
    <row r="766" spans="1:14" ht="25.5" x14ac:dyDescent="0.25">
      <c r="A766" s="225"/>
      <c r="B766" s="7"/>
      <c r="C766" s="230" t="s">
        <v>9</v>
      </c>
      <c r="D766" s="7"/>
      <c r="E766" s="233" t="s">
        <v>10</v>
      </c>
      <c r="F766" s="502">
        <f t="shared" si="139"/>
        <v>9113.9000000000015</v>
      </c>
      <c r="G766" s="502">
        <f t="shared" si="139"/>
        <v>115.66</v>
      </c>
      <c r="H766" s="502">
        <f t="shared" si="139"/>
        <v>9229.56</v>
      </c>
      <c r="I766" s="297">
        <f t="shared" si="139"/>
        <v>118.2</v>
      </c>
      <c r="J766" s="297">
        <f t="shared" si="139"/>
        <v>875</v>
      </c>
      <c r="K766" s="297">
        <f t="shared" si="139"/>
        <v>993.2</v>
      </c>
      <c r="L766" s="297">
        <f t="shared" si="139"/>
        <v>118.2</v>
      </c>
      <c r="M766" s="297"/>
      <c r="N766" s="297">
        <f t="shared" si="139"/>
        <v>118.2</v>
      </c>
    </row>
    <row r="767" spans="1:14" ht="25.5" x14ac:dyDescent="0.25">
      <c r="A767" s="260"/>
      <c r="B767" s="235"/>
      <c r="C767" s="236" t="s">
        <v>238</v>
      </c>
      <c r="D767" s="235"/>
      <c r="E767" s="237" t="s">
        <v>239</v>
      </c>
      <c r="F767" s="503">
        <f t="shared" ref="F767:L767" si="140">F768+F777</f>
        <v>9113.9000000000015</v>
      </c>
      <c r="G767" s="503">
        <f t="shared" si="140"/>
        <v>115.66</v>
      </c>
      <c r="H767" s="503">
        <f t="shared" si="140"/>
        <v>9229.56</v>
      </c>
      <c r="I767" s="299">
        <f t="shared" si="140"/>
        <v>118.2</v>
      </c>
      <c r="J767" s="299">
        <f t="shared" si="140"/>
        <v>875</v>
      </c>
      <c r="K767" s="299">
        <f t="shared" si="140"/>
        <v>993.2</v>
      </c>
      <c r="L767" s="299">
        <f t="shared" si="140"/>
        <v>118.2</v>
      </c>
      <c r="M767" s="299"/>
      <c r="N767" s="299">
        <f>N768+N777</f>
        <v>118.2</v>
      </c>
    </row>
    <row r="768" spans="1:14" ht="38.25" x14ac:dyDescent="0.25">
      <c r="A768" s="254"/>
      <c r="B768" s="34"/>
      <c r="C768" s="245" t="s">
        <v>240</v>
      </c>
      <c r="D768" s="34"/>
      <c r="E768" s="253" t="s">
        <v>933</v>
      </c>
      <c r="F768" s="494">
        <f>F769+F771+F773</f>
        <v>2332.1999999999998</v>
      </c>
      <c r="G768" s="494">
        <f>G769+G773+G771</f>
        <v>115.59399999999999</v>
      </c>
      <c r="H768" s="494">
        <f>H769+H771+H773</f>
        <v>2447.7939999999999</v>
      </c>
      <c r="I768" s="247">
        <f t="shared" ref="F768:N769" si="141">I769</f>
        <v>0</v>
      </c>
      <c r="J768" s="247"/>
      <c r="K768" s="247">
        <f t="shared" si="141"/>
        <v>0</v>
      </c>
      <c r="L768" s="247">
        <f t="shared" si="141"/>
        <v>0</v>
      </c>
      <c r="M768" s="247"/>
      <c r="N768" s="247">
        <f t="shared" si="141"/>
        <v>0</v>
      </c>
    </row>
    <row r="769" spans="1:14" ht="51" x14ac:dyDescent="0.25">
      <c r="A769" s="225"/>
      <c r="B769" s="27"/>
      <c r="C769" s="248" t="s">
        <v>242</v>
      </c>
      <c r="D769" s="27"/>
      <c r="E769" s="28" t="s">
        <v>467</v>
      </c>
      <c r="F769" s="472">
        <f t="shared" si="141"/>
        <v>1466.1</v>
      </c>
      <c r="G769" s="473">
        <f>G770</f>
        <v>115.7</v>
      </c>
      <c r="H769" s="472">
        <f t="shared" si="141"/>
        <v>1581.8</v>
      </c>
      <c r="I769" s="29">
        <f t="shared" si="141"/>
        <v>0</v>
      </c>
      <c r="J769" s="29"/>
      <c r="K769" s="29">
        <f t="shared" si="141"/>
        <v>0</v>
      </c>
      <c r="L769" s="29">
        <f t="shared" si="141"/>
        <v>0</v>
      </c>
      <c r="M769" s="29"/>
      <c r="N769" s="29">
        <f t="shared" si="141"/>
        <v>0</v>
      </c>
    </row>
    <row r="770" spans="1:14" ht="25.5" x14ac:dyDescent="0.25">
      <c r="A770" s="229"/>
      <c r="B770" s="27"/>
      <c r="C770" s="248"/>
      <c r="D770" s="27" t="s">
        <v>64</v>
      </c>
      <c r="E770" s="30" t="s">
        <v>65</v>
      </c>
      <c r="F770" s="472">
        <v>1466.1</v>
      </c>
      <c r="G770" s="473">
        <v>115.7</v>
      </c>
      <c r="H770" s="472">
        <f>F770+G770</f>
        <v>1581.8</v>
      </c>
      <c r="I770" s="29">
        <v>0</v>
      </c>
      <c r="J770" s="29"/>
      <c r="K770" s="29">
        <v>0</v>
      </c>
      <c r="L770" s="29">
        <v>0</v>
      </c>
      <c r="M770" s="29"/>
      <c r="N770" s="29">
        <v>0</v>
      </c>
    </row>
    <row r="771" spans="1:14" ht="30" customHeight="1" x14ac:dyDescent="0.25">
      <c r="A771" s="229"/>
      <c r="B771" s="27"/>
      <c r="C771" s="32" t="s">
        <v>1006</v>
      </c>
      <c r="D771" s="32"/>
      <c r="E771" s="26" t="s">
        <v>1007</v>
      </c>
      <c r="F771" s="470">
        <f>F772</f>
        <v>360.6</v>
      </c>
      <c r="G771" s="470">
        <f>G772</f>
        <v>-4.5999999999999999E-2</v>
      </c>
      <c r="H771" s="470">
        <f>H772</f>
        <v>360.55400000000003</v>
      </c>
      <c r="I771" s="182">
        <f t="shared" ref="I771:N771" si="142">I772</f>
        <v>0</v>
      </c>
      <c r="J771" s="182"/>
      <c r="K771" s="182">
        <f t="shared" si="142"/>
        <v>0</v>
      </c>
      <c r="L771" s="182">
        <f t="shared" si="142"/>
        <v>0</v>
      </c>
      <c r="M771" s="182"/>
      <c r="N771" s="182">
        <f t="shared" si="142"/>
        <v>0</v>
      </c>
    </row>
    <row r="772" spans="1:14" ht="26.25" x14ac:dyDescent="0.25">
      <c r="A772" s="229"/>
      <c r="B772" s="27"/>
      <c r="C772" s="32"/>
      <c r="D772" s="32" t="s">
        <v>64</v>
      </c>
      <c r="E772" s="26" t="s">
        <v>65</v>
      </c>
      <c r="F772" s="469">
        <v>360.6</v>
      </c>
      <c r="G772" s="470">
        <v>-4.5999999999999999E-2</v>
      </c>
      <c r="H772" s="469">
        <f>SUM(F772:G772)</f>
        <v>360.55400000000003</v>
      </c>
      <c r="I772" s="160">
        <v>0</v>
      </c>
      <c r="J772" s="160"/>
      <c r="K772" s="160">
        <v>0</v>
      </c>
      <c r="L772" s="160">
        <v>0</v>
      </c>
      <c r="M772" s="160"/>
      <c r="N772" s="160">
        <v>0</v>
      </c>
    </row>
    <row r="773" spans="1:14" x14ac:dyDescent="0.25">
      <c r="A773" s="229"/>
      <c r="B773" s="27"/>
      <c r="C773" s="32" t="s">
        <v>1153</v>
      </c>
      <c r="D773" s="32"/>
      <c r="E773" s="26" t="s">
        <v>1154</v>
      </c>
      <c r="F773" s="469">
        <f>F774</f>
        <v>505.5</v>
      </c>
      <c r="G773" s="470">
        <f>G774</f>
        <v>-0.06</v>
      </c>
      <c r="H773" s="469">
        <f>H774</f>
        <v>505.44</v>
      </c>
      <c r="I773" s="160"/>
      <c r="J773" s="160"/>
      <c r="K773" s="160">
        <v>0</v>
      </c>
      <c r="L773" s="160"/>
      <c r="M773" s="160"/>
      <c r="N773" s="160">
        <v>0</v>
      </c>
    </row>
    <row r="774" spans="1:14" ht="26.25" x14ac:dyDescent="0.25">
      <c r="A774" s="229"/>
      <c r="B774" s="27"/>
      <c r="C774" s="32"/>
      <c r="D774" s="32" t="s">
        <v>64</v>
      </c>
      <c r="E774" s="26" t="s">
        <v>65</v>
      </c>
      <c r="F774" s="469">
        <f>F776+F775</f>
        <v>505.5</v>
      </c>
      <c r="G774" s="470">
        <f>G776+G775</f>
        <v>-0.06</v>
      </c>
      <c r="H774" s="469">
        <f>SUM(F774:G774)</f>
        <v>505.44</v>
      </c>
      <c r="I774" s="160"/>
      <c r="J774" s="160"/>
      <c r="K774" s="160">
        <v>0</v>
      </c>
      <c r="L774" s="160"/>
      <c r="M774" s="160"/>
      <c r="N774" s="160">
        <v>0</v>
      </c>
    </row>
    <row r="775" spans="1:14" x14ac:dyDescent="0.25">
      <c r="A775" s="229"/>
      <c r="B775" s="27"/>
      <c r="C775" s="32"/>
      <c r="D775" s="32"/>
      <c r="E775" s="28" t="s">
        <v>102</v>
      </c>
      <c r="F775" s="469">
        <v>379.1</v>
      </c>
      <c r="G775" s="470">
        <v>-0.02</v>
      </c>
      <c r="H775" s="469">
        <f>SUM(F775:G775)</f>
        <v>379.08000000000004</v>
      </c>
      <c r="I775" s="160"/>
      <c r="J775" s="160"/>
      <c r="K775" s="160">
        <v>0</v>
      </c>
      <c r="L775" s="160"/>
      <c r="M775" s="160"/>
      <c r="N775" s="160">
        <v>0</v>
      </c>
    </row>
    <row r="776" spans="1:14" x14ac:dyDescent="0.25">
      <c r="A776" s="229"/>
      <c r="B776" s="27"/>
      <c r="C776" s="32"/>
      <c r="D776" s="32"/>
      <c r="E776" s="28" t="s">
        <v>146</v>
      </c>
      <c r="F776" s="469">
        <v>126.4</v>
      </c>
      <c r="G776" s="470">
        <v>-0.04</v>
      </c>
      <c r="H776" s="469">
        <f>SUM(F776:G776)</f>
        <v>126.36</v>
      </c>
      <c r="I776" s="160"/>
      <c r="J776" s="160"/>
      <c r="K776" s="160">
        <v>0</v>
      </c>
      <c r="L776" s="160"/>
      <c r="M776" s="160"/>
      <c r="N776" s="160">
        <v>0</v>
      </c>
    </row>
    <row r="777" spans="1:14" ht="54.75" customHeight="1" x14ac:dyDescent="0.25">
      <c r="A777" s="244"/>
      <c r="B777" s="34"/>
      <c r="C777" s="245" t="s">
        <v>243</v>
      </c>
      <c r="D777" s="34"/>
      <c r="E777" s="246" t="s">
        <v>244</v>
      </c>
      <c r="F777" s="494">
        <f>F778+F784+F782</f>
        <v>6781.7000000000007</v>
      </c>
      <c r="G777" s="494">
        <f>G782+G784+G778</f>
        <v>6.6000000000000003E-2</v>
      </c>
      <c r="H777" s="494">
        <f>H778+H784+H782</f>
        <v>6781.7659999999996</v>
      </c>
      <c r="I777" s="247">
        <f t="shared" ref="F777:N778" si="143">I778</f>
        <v>118.2</v>
      </c>
      <c r="J777" s="247">
        <f>J778+J782</f>
        <v>875</v>
      </c>
      <c r="K777" s="247">
        <f>K778+K782</f>
        <v>993.2</v>
      </c>
      <c r="L777" s="247">
        <f t="shared" si="143"/>
        <v>118.2</v>
      </c>
      <c r="M777" s="247"/>
      <c r="N777" s="247">
        <f t="shared" si="143"/>
        <v>118.2</v>
      </c>
    </row>
    <row r="778" spans="1:14" ht="38.25" x14ac:dyDescent="0.25">
      <c r="A778" s="229"/>
      <c r="B778" s="27"/>
      <c r="C778" s="248" t="s">
        <v>245</v>
      </c>
      <c r="D778" s="27"/>
      <c r="E778" s="28" t="s">
        <v>246</v>
      </c>
      <c r="F778" s="472">
        <f t="shared" si="143"/>
        <v>6403.7000000000007</v>
      </c>
      <c r="G778" s="473">
        <f t="shared" si="143"/>
        <v>6.6000000000000003E-2</v>
      </c>
      <c r="H778" s="472">
        <f t="shared" si="143"/>
        <v>6403.7659999999996</v>
      </c>
      <c r="I778" s="29">
        <f t="shared" si="143"/>
        <v>118.2</v>
      </c>
      <c r="J778" s="29">
        <f>J779</f>
        <v>875</v>
      </c>
      <c r="K778" s="29">
        <f t="shared" si="143"/>
        <v>993.2</v>
      </c>
      <c r="L778" s="29">
        <f t="shared" si="143"/>
        <v>118.2</v>
      </c>
      <c r="M778" s="29"/>
      <c r="N778" s="29">
        <f t="shared" si="143"/>
        <v>118.2</v>
      </c>
    </row>
    <row r="779" spans="1:14" ht="25.5" x14ac:dyDescent="0.25">
      <c r="A779" s="229"/>
      <c r="B779" s="27"/>
      <c r="C779" s="248"/>
      <c r="D779" s="27" t="s">
        <v>64</v>
      </c>
      <c r="E779" s="28" t="s">
        <v>65</v>
      </c>
      <c r="F779" s="473">
        <f>F780+F781</f>
        <v>6403.7000000000007</v>
      </c>
      <c r="G779" s="470">
        <f>G781+G780</f>
        <v>6.6000000000000003E-2</v>
      </c>
      <c r="H779" s="473">
        <f>H780+H781</f>
        <v>6403.7659999999996</v>
      </c>
      <c r="I779" s="8">
        <f>I780+I781</f>
        <v>118.2</v>
      </c>
      <c r="J779" s="8">
        <f>J780+J781</f>
        <v>875</v>
      </c>
      <c r="K779" s="8">
        <f>K780+K781</f>
        <v>993.2</v>
      </c>
      <c r="L779" s="8">
        <f>L780+L781</f>
        <v>118.2</v>
      </c>
      <c r="M779" s="8"/>
      <c r="N779" s="8">
        <f>N780+N781</f>
        <v>118.2</v>
      </c>
    </row>
    <row r="780" spans="1:14" x14ac:dyDescent="0.25">
      <c r="A780" s="229"/>
      <c r="B780" s="27"/>
      <c r="C780" s="248"/>
      <c r="D780" s="27"/>
      <c r="E780" s="28" t="s">
        <v>102</v>
      </c>
      <c r="F780" s="469">
        <v>4802.8</v>
      </c>
      <c r="G780" s="470">
        <v>2.5000000000000001E-2</v>
      </c>
      <c r="H780" s="469">
        <f>SUM(F780:G780)</f>
        <v>4802.8249999999998</v>
      </c>
      <c r="I780" s="29">
        <v>0</v>
      </c>
      <c r="J780" s="29"/>
      <c r="K780" s="29">
        <v>0</v>
      </c>
      <c r="L780" s="29">
        <v>0</v>
      </c>
      <c r="M780" s="29"/>
      <c r="N780" s="29">
        <v>0</v>
      </c>
    </row>
    <row r="781" spans="1:14" x14ac:dyDescent="0.25">
      <c r="A781" s="225"/>
      <c r="B781" s="27"/>
      <c r="C781" s="248"/>
      <c r="D781" s="27"/>
      <c r="E781" s="28" t="s">
        <v>146</v>
      </c>
      <c r="F781" s="469">
        <v>1600.9</v>
      </c>
      <c r="G781" s="470">
        <v>4.1000000000000002E-2</v>
      </c>
      <c r="H781" s="469">
        <f>SUM(F781:G781)</f>
        <v>1600.941</v>
      </c>
      <c r="I781" s="29">
        <v>118.2</v>
      </c>
      <c r="J781" s="29">
        <v>875</v>
      </c>
      <c r="K781" s="29">
        <f>118.2+J781</f>
        <v>993.2</v>
      </c>
      <c r="L781" s="29">
        <v>118.2</v>
      </c>
      <c r="M781" s="29"/>
      <c r="N781" s="29">
        <v>118.2</v>
      </c>
    </row>
    <row r="782" spans="1:14" ht="39" x14ac:dyDescent="0.25">
      <c r="A782" s="225"/>
      <c r="B782" s="27"/>
      <c r="C782" s="449" t="s">
        <v>1198</v>
      </c>
      <c r="D782" s="449"/>
      <c r="E782" s="159" t="s">
        <v>1199</v>
      </c>
      <c r="F782" s="469">
        <f>F783</f>
        <v>378</v>
      </c>
      <c r="G782" s="469"/>
      <c r="H782" s="469">
        <f>H783</f>
        <v>378</v>
      </c>
      <c r="I782" s="29"/>
      <c r="J782" s="29"/>
      <c r="K782" s="29">
        <f>K783</f>
        <v>0</v>
      </c>
      <c r="L782" s="29"/>
      <c r="M782" s="29"/>
      <c r="N782" s="29">
        <v>0</v>
      </c>
    </row>
    <row r="783" spans="1:14" ht="26.25" x14ac:dyDescent="0.25">
      <c r="A783" s="225"/>
      <c r="B783" s="27"/>
      <c r="C783" s="449"/>
      <c r="D783" s="449" t="s">
        <v>64</v>
      </c>
      <c r="E783" s="159" t="s">
        <v>65</v>
      </c>
      <c r="F783" s="469">
        <v>378</v>
      </c>
      <c r="G783" s="469"/>
      <c r="H783" s="469">
        <v>378</v>
      </c>
      <c r="I783" s="29"/>
      <c r="J783" s="29"/>
      <c r="K783" s="29">
        <v>0</v>
      </c>
      <c r="L783" s="29"/>
      <c r="M783" s="29"/>
      <c r="N783" s="29">
        <v>0</v>
      </c>
    </row>
    <row r="784" spans="1:14" x14ac:dyDescent="0.25">
      <c r="A784" s="225"/>
      <c r="B784" s="27"/>
      <c r="C784" s="157" t="s">
        <v>1002</v>
      </c>
      <c r="D784" s="157"/>
      <c r="E784" s="159" t="s">
        <v>1017</v>
      </c>
      <c r="F784" s="476">
        <v>0</v>
      </c>
      <c r="G784" s="476"/>
      <c r="H784" s="476">
        <v>0</v>
      </c>
      <c r="I784" s="29"/>
      <c r="J784" s="29"/>
      <c r="K784" s="29">
        <v>0</v>
      </c>
      <c r="L784" s="29"/>
      <c r="M784" s="29"/>
      <c r="N784" s="29">
        <v>0</v>
      </c>
    </row>
    <row r="785" spans="1:14" ht="26.25" x14ac:dyDescent="0.25">
      <c r="A785" s="225"/>
      <c r="B785" s="27"/>
      <c r="C785" s="157"/>
      <c r="D785" s="157" t="s">
        <v>64</v>
      </c>
      <c r="E785" s="159" t="s">
        <v>65</v>
      </c>
      <c r="F785" s="476">
        <v>0</v>
      </c>
      <c r="G785" s="476"/>
      <c r="H785" s="476">
        <v>0</v>
      </c>
      <c r="I785" s="29"/>
      <c r="J785" s="29"/>
      <c r="K785" s="29">
        <v>0</v>
      </c>
      <c r="L785" s="29"/>
      <c r="M785" s="29"/>
      <c r="N785" s="29">
        <v>0</v>
      </c>
    </row>
    <row r="786" spans="1:14" ht="25.5" x14ac:dyDescent="0.25">
      <c r="A786" s="226">
        <v>621</v>
      </c>
      <c r="B786" s="326"/>
      <c r="C786" s="327"/>
      <c r="D786" s="226"/>
      <c r="E786" s="227" t="s">
        <v>934</v>
      </c>
      <c r="F786" s="516">
        <f>F787+F799+F807+F837+F906+F919+F926</f>
        <v>93029.700000000012</v>
      </c>
      <c r="G786" s="516">
        <f>G787+G799+G807+G837+G906+G919+G926</f>
        <v>-37.978000000000002</v>
      </c>
      <c r="H786" s="516">
        <f>H787+H799+H807+H837+H906+H919+H926</f>
        <v>92991.721999999994</v>
      </c>
      <c r="I786" s="343">
        <f>I807+I837+I926+I787+I799+I922+I907</f>
        <v>75751.199999999997</v>
      </c>
      <c r="J786" s="343">
        <f>J807+J837+J926+J787+J799+J922+J907</f>
        <v>357.2</v>
      </c>
      <c r="K786" s="343">
        <f>K807+K837+K926+K787+K799+K922+K907</f>
        <v>76108.39999999998</v>
      </c>
      <c r="L786" s="343">
        <f>L807+L837+L926+L787+L799+L922+L907</f>
        <v>76297</v>
      </c>
      <c r="M786" s="343"/>
      <c r="N786" s="343">
        <f>N807+N837+N926+N787+N799+N922+N907</f>
        <v>76297</v>
      </c>
    </row>
    <row r="787" spans="1:14" x14ac:dyDescent="0.25">
      <c r="A787" s="344"/>
      <c r="B787" s="7" t="s">
        <v>816</v>
      </c>
      <c r="C787" s="230"/>
      <c r="D787" s="229"/>
      <c r="E787" s="231" t="s">
        <v>817</v>
      </c>
      <c r="F787" s="502">
        <f t="shared" ref="F787:N789" si="144">F788</f>
        <v>25.5</v>
      </c>
      <c r="G787" s="502"/>
      <c r="H787" s="502">
        <f t="shared" si="144"/>
        <v>25.5</v>
      </c>
      <c r="I787" s="297">
        <f t="shared" si="144"/>
        <v>25.5</v>
      </c>
      <c r="J787" s="297"/>
      <c r="K787" s="297">
        <f t="shared" si="144"/>
        <v>25.5</v>
      </c>
      <c r="L787" s="297">
        <f t="shared" si="144"/>
        <v>25.5</v>
      </c>
      <c r="M787" s="297"/>
      <c r="N787" s="297">
        <f t="shared" si="144"/>
        <v>25.5</v>
      </c>
    </row>
    <row r="788" spans="1:14" x14ac:dyDescent="0.25">
      <c r="A788" s="344"/>
      <c r="B788" s="7" t="s">
        <v>830</v>
      </c>
      <c r="C788" s="230"/>
      <c r="D788" s="229"/>
      <c r="E788" s="231" t="s">
        <v>831</v>
      </c>
      <c r="F788" s="502">
        <f t="shared" si="144"/>
        <v>25.5</v>
      </c>
      <c r="G788" s="502"/>
      <c r="H788" s="502">
        <f t="shared" si="144"/>
        <v>25.5</v>
      </c>
      <c r="I788" s="297">
        <f t="shared" si="144"/>
        <v>25.5</v>
      </c>
      <c r="J788" s="297"/>
      <c r="K788" s="297">
        <f t="shared" si="144"/>
        <v>25.5</v>
      </c>
      <c r="L788" s="297">
        <f t="shared" si="144"/>
        <v>25.5</v>
      </c>
      <c r="M788" s="297"/>
      <c r="N788" s="297">
        <f t="shared" si="144"/>
        <v>25.5</v>
      </c>
    </row>
    <row r="789" spans="1:14" ht="25.5" x14ac:dyDescent="0.25">
      <c r="A789" s="340"/>
      <c r="B789" s="7"/>
      <c r="C789" s="230" t="s">
        <v>9</v>
      </c>
      <c r="D789" s="229"/>
      <c r="E789" s="233" t="s">
        <v>10</v>
      </c>
      <c r="F789" s="502">
        <f t="shared" si="144"/>
        <v>25.5</v>
      </c>
      <c r="G789" s="502"/>
      <c r="H789" s="502">
        <f t="shared" si="144"/>
        <v>25.5</v>
      </c>
      <c r="I789" s="297">
        <f t="shared" si="144"/>
        <v>25.5</v>
      </c>
      <c r="J789" s="297"/>
      <c r="K789" s="297">
        <f t="shared" si="144"/>
        <v>25.5</v>
      </c>
      <c r="L789" s="297">
        <f t="shared" si="144"/>
        <v>25.5</v>
      </c>
      <c r="M789" s="297"/>
      <c r="N789" s="297">
        <f t="shared" si="144"/>
        <v>25.5</v>
      </c>
    </row>
    <row r="790" spans="1:14" ht="25.5" x14ac:dyDescent="0.25">
      <c r="A790" s="260"/>
      <c r="B790" s="235"/>
      <c r="C790" s="236" t="s">
        <v>153</v>
      </c>
      <c r="D790" s="235"/>
      <c r="E790" s="237" t="s">
        <v>154</v>
      </c>
      <c r="F790" s="503">
        <f>F791+F795</f>
        <v>25.5</v>
      </c>
      <c r="G790" s="503"/>
      <c r="H790" s="503">
        <f>H791+H795</f>
        <v>25.5</v>
      </c>
      <c r="I790" s="299">
        <f>I791+I795</f>
        <v>25.5</v>
      </c>
      <c r="J790" s="299"/>
      <c r="K790" s="299">
        <f>K791+K795</f>
        <v>25.5</v>
      </c>
      <c r="L790" s="299">
        <f>L791+L795</f>
        <v>25.5</v>
      </c>
      <c r="M790" s="299"/>
      <c r="N790" s="299">
        <f>N791+N795</f>
        <v>25.5</v>
      </c>
    </row>
    <row r="791" spans="1:14" ht="25.5" x14ac:dyDescent="0.25">
      <c r="A791" s="294"/>
      <c r="B791" s="287"/>
      <c r="C791" s="288" t="s">
        <v>156</v>
      </c>
      <c r="D791" s="287"/>
      <c r="E791" s="295" t="s">
        <v>990</v>
      </c>
      <c r="F791" s="517">
        <f t="shared" ref="F791:N793" si="145">F792</f>
        <v>9</v>
      </c>
      <c r="G791" s="517"/>
      <c r="H791" s="517">
        <f t="shared" si="145"/>
        <v>9</v>
      </c>
      <c r="I791" s="345">
        <f t="shared" si="145"/>
        <v>9</v>
      </c>
      <c r="J791" s="345"/>
      <c r="K791" s="345">
        <f t="shared" si="145"/>
        <v>9</v>
      </c>
      <c r="L791" s="345">
        <f t="shared" si="145"/>
        <v>9</v>
      </c>
      <c r="M791" s="345"/>
      <c r="N791" s="345">
        <f t="shared" si="145"/>
        <v>9</v>
      </c>
    </row>
    <row r="792" spans="1:14" ht="25.5" x14ac:dyDescent="0.25">
      <c r="A792" s="244"/>
      <c r="B792" s="34"/>
      <c r="C792" s="245" t="s">
        <v>157</v>
      </c>
      <c r="D792" s="34"/>
      <c r="E792" s="246" t="s">
        <v>992</v>
      </c>
      <c r="F792" s="494">
        <f t="shared" si="145"/>
        <v>9</v>
      </c>
      <c r="G792" s="494"/>
      <c r="H792" s="494">
        <f t="shared" si="145"/>
        <v>9</v>
      </c>
      <c r="I792" s="247">
        <f t="shared" si="145"/>
        <v>9</v>
      </c>
      <c r="J792" s="247"/>
      <c r="K792" s="247">
        <f t="shared" si="145"/>
        <v>9</v>
      </c>
      <c r="L792" s="247">
        <f t="shared" si="145"/>
        <v>9</v>
      </c>
      <c r="M792" s="247"/>
      <c r="N792" s="247">
        <f t="shared" si="145"/>
        <v>9</v>
      </c>
    </row>
    <row r="793" spans="1:14" ht="25.5" x14ac:dyDescent="0.25">
      <c r="A793" s="344"/>
      <c r="B793" s="27"/>
      <c r="C793" s="248" t="s">
        <v>158</v>
      </c>
      <c r="D793" s="27"/>
      <c r="E793" s="28" t="s">
        <v>159</v>
      </c>
      <c r="F793" s="472">
        <f t="shared" si="145"/>
        <v>9</v>
      </c>
      <c r="G793" s="472"/>
      <c r="H793" s="472">
        <f t="shared" si="145"/>
        <v>9</v>
      </c>
      <c r="I793" s="29">
        <f t="shared" si="145"/>
        <v>9</v>
      </c>
      <c r="J793" s="29"/>
      <c r="K793" s="29">
        <f t="shared" si="145"/>
        <v>9</v>
      </c>
      <c r="L793" s="29">
        <f t="shared" si="145"/>
        <v>9</v>
      </c>
      <c r="M793" s="29"/>
      <c r="N793" s="29">
        <f t="shared" si="145"/>
        <v>9</v>
      </c>
    </row>
    <row r="794" spans="1:14" ht="25.5" x14ac:dyDescent="0.25">
      <c r="A794" s="344"/>
      <c r="B794" s="27"/>
      <c r="C794" s="230"/>
      <c r="D794" s="27" t="s">
        <v>64</v>
      </c>
      <c r="E794" s="28" t="s">
        <v>65</v>
      </c>
      <c r="F794" s="472">
        <v>9</v>
      </c>
      <c r="G794" s="472"/>
      <c r="H794" s="472">
        <v>9</v>
      </c>
      <c r="I794" s="29">
        <v>9</v>
      </c>
      <c r="J794" s="29"/>
      <c r="K794" s="29">
        <v>9</v>
      </c>
      <c r="L794" s="29">
        <v>9</v>
      </c>
      <c r="M794" s="29"/>
      <c r="N794" s="29">
        <v>9</v>
      </c>
    </row>
    <row r="795" spans="1:14" ht="25.5" x14ac:dyDescent="0.25">
      <c r="A795" s="294"/>
      <c r="B795" s="333"/>
      <c r="C795" s="288" t="s">
        <v>160</v>
      </c>
      <c r="D795" s="287"/>
      <c r="E795" s="295" t="s">
        <v>161</v>
      </c>
      <c r="F795" s="517">
        <f t="shared" ref="F795:N797" si="146">F796</f>
        <v>16.5</v>
      </c>
      <c r="G795" s="517"/>
      <c r="H795" s="517">
        <f t="shared" si="146"/>
        <v>16.5</v>
      </c>
      <c r="I795" s="345">
        <f t="shared" si="146"/>
        <v>16.5</v>
      </c>
      <c r="J795" s="345"/>
      <c r="K795" s="345">
        <f t="shared" si="146"/>
        <v>16.5</v>
      </c>
      <c r="L795" s="345">
        <f t="shared" si="146"/>
        <v>16.5</v>
      </c>
      <c r="M795" s="345"/>
      <c r="N795" s="345">
        <f t="shared" si="146"/>
        <v>16.5</v>
      </c>
    </row>
    <row r="796" spans="1:14" ht="25.5" x14ac:dyDescent="0.25">
      <c r="A796" s="344"/>
      <c r="B796" s="27"/>
      <c r="C796" s="230" t="s">
        <v>162</v>
      </c>
      <c r="D796" s="7"/>
      <c r="E796" s="231" t="s">
        <v>163</v>
      </c>
      <c r="F796" s="472">
        <f t="shared" si="146"/>
        <v>16.5</v>
      </c>
      <c r="G796" s="472"/>
      <c r="H796" s="472">
        <f t="shared" si="146"/>
        <v>16.5</v>
      </c>
      <c r="I796" s="29">
        <f t="shared" si="146"/>
        <v>16.5</v>
      </c>
      <c r="J796" s="29"/>
      <c r="K796" s="29">
        <f t="shared" si="146"/>
        <v>16.5</v>
      </c>
      <c r="L796" s="29">
        <f t="shared" si="146"/>
        <v>16.5</v>
      </c>
      <c r="M796" s="29"/>
      <c r="N796" s="29">
        <f t="shared" si="146"/>
        <v>16.5</v>
      </c>
    </row>
    <row r="797" spans="1:14" ht="25.5" x14ac:dyDescent="0.25">
      <c r="A797" s="344"/>
      <c r="B797" s="27"/>
      <c r="C797" s="248" t="s">
        <v>164</v>
      </c>
      <c r="D797" s="27"/>
      <c r="E797" s="28" t="s">
        <v>165</v>
      </c>
      <c r="F797" s="472">
        <f t="shared" si="146"/>
        <v>16.5</v>
      </c>
      <c r="G797" s="472"/>
      <c r="H797" s="472">
        <f t="shared" si="146"/>
        <v>16.5</v>
      </c>
      <c r="I797" s="29">
        <f t="shared" si="146"/>
        <v>16.5</v>
      </c>
      <c r="J797" s="29"/>
      <c r="K797" s="29">
        <f t="shared" si="146"/>
        <v>16.5</v>
      </c>
      <c r="L797" s="29">
        <f t="shared" si="146"/>
        <v>16.5</v>
      </c>
      <c r="M797" s="29"/>
      <c r="N797" s="29">
        <f t="shared" si="146"/>
        <v>16.5</v>
      </c>
    </row>
    <row r="798" spans="1:14" ht="25.5" x14ac:dyDescent="0.25">
      <c r="A798" s="344"/>
      <c r="B798" s="27"/>
      <c r="C798" s="248"/>
      <c r="D798" s="27" t="s">
        <v>64</v>
      </c>
      <c r="E798" s="28" t="s">
        <v>65</v>
      </c>
      <c r="F798" s="472">
        <v>16.5</v>
      </c>
      <c r="G798" s="472"/>
      <c r="H798" s="472">
        <v>16.5</v>
      </c>
      <c r="I798" s="29">
        <v>16.5</v>
      </c>
      <c r="J798" s="29"/>
      <c r="K798" s="29">
        <v>16.5</v>
      </c>
      <c r="L798" s="29">
        <v>16.5</v>
      </c>
      <c r="M798" s="29"/>
      <c r="N798" s="29">
        <v>16.5</v>
      </c>
    </row>
    <row r="799" spans="1:14" x14ac:dyDescent="0.25">
      <c r="A799" s="344"/>
      <c r="B799" s="7" t="s">
        <v>840</v>
      </c>
      <c r="C799" s="230"/>
      <c r="D799" s="229"/>
      <c r="E799" s="231" t="s">
        <v>841</v>
      </c>
      <c r="F799" s="491">
        <f t="shared" ref="F799:N805" si="147">F800</f>
        <v>1.5</v>
      </c>
      <c r="G799" s="491"/>
      <c r="H799" s="491">
        <f t="shared" si="147"/>
        <v>1.5</v>
      </c>
      <c r="I799" s="232">
        <f t="shared" si="147"/>
        <v>1.5</v>
      </c>
      <c r="J799" s="232"/>
      <c r="K799" s="232">
        <f t="shared" si="147"/>
        <v>1.5</v>
      </c>
      <c r="L799" s="232">
        <f t="shared" si="147"/>
        <v>1.5</v>
      </c>
      <c r="M799" s="232"/>
      <c r="N799" s="232">
        <f t="shared" si="147"/>
        <v>1.5</v>
      </c>
    </row>
    <row r="800" spans="1:14" ht="25.5" x14ac:dyDescent="0.25">
      <c r="A800" s="344"/>
      <c r="B800" s="7" t="s">
        <v>851</v>
      </c>
      <c r="C800" s="230"/>
      <c r="D800" s="7"/>
      <c r="E800" s="233" t="s">
        <v>852</v>
      </c>
      <c r="F800" s="491">
        <f t="shared" si="147"/>
        <v>1.5</v>
      </c>
      <c r="G800" s="491"/>
      <c r="H800" s="491">
        <f t="shared" si="147"/>
        <v>1.5</v>
      </c>
      <c r="I800" s="232">
        <f t="shared" si="147"/>
        <v>1.5</v>
      </c>
      <c r="J800" s="232"/>
      <c r="K800" s="232">
        <f t="shared" si="147"/>
        <v>1.5</v>
      </c>
      <c r="L800" s="232">
        <f t="shared" si="147"/>
        <v>1.5</v>
      </c>
      <c r="M800" s="232"/>
      <c r="N800" s="232">
        <f t="shared" si="147"/>
        <v>1.5</v>
      </c>
    </row>
    <row r="801" spans="1:14" ht="25.5" x14ac:dyDescent="0.25">
      <c r="A801" s="344"/>
      <c r="B801" s="7"/>
      <c r="C801" s="230" t="s">
        <v>9</v>
      </c>
      <c r="D801" s="229"/>
      <c r="E801" s="233" t="s">
        <v>10</v>
      </c>
      <c r="F801" s="472">
        <f t="shared" si="147"/>
        <v>1.5</v>
      </c>
      <c r="G801" s="472"/>
      <c r="H801" s="472">
        <f t="shared" si="147"/>
        <v>1.5</v>
      </c>
      <c r="I801" s="29">
        <f t="shared" si="147"/>
        <v>1.5</v>
      </c>
      <c r="J801" s="29"/>
      <c r="K801" s="29">
        <f t="shared" si="147"/>
        <v>1.5</v>
      </c>
      <c r="L801" s="29">
        <f t="shared" si="147"/>
        <v>1.5</v>
      </c>
      <c r="M801" s="29"/>
      <c r="N801" s="29">
        <f t="shared" si="147"/>
        <v>1.5</v>
      </c>
    </row>
    <row r="802" spans="1:14" ht="26.25" x14ac:dyDescent="0.25">
      <c r="A802" s="234"/>
      <c r="B802" s="235"/>
      <c r="C802" s="236" t="s">
        <v>247</v>
      </c>
      <c r="D802" s="235"/>
      <c r="E802" s="5" t="s">
        <v>473</v>
      </c>
      <c r="F802" s="492">
        <f t="shared" si="147"/>
        <v>1.5</v>
      </c>
      <c r="G802" s="492"/>
      <c r="H802" s="492">
        <f t="shared" si="147"/>
        <v>1.5</v>
      </c>
      <c r="I802" s="238">
        <f t="shared" si="147"/>
        <v>1.5</v>
      </c>
      <c r="J802" s="238"/>
      <c r="K802" s="238">
        <f t="shared" si="147"/>
        <v>1.5</v>
      </c>
      <c r="L802" s="238">
        <f t="shared" si="147"/>
        <v>1.5</v>
      </c>
      <c r="M802" s="238"/>
      <c r="N802" s="238">
        <f t="shared" si="147"/>
        <v>1.5</v>
      </c>
    </row>
    <row r="803" spans="1:14" ht="26.25" x14ac:dyDescent="0.25">
      <c r="A803" s="294"/>
      <c r="B803" s="308"/>
      <c r="C803" s="309" t="s">
        <v>248</v>
      </c>
      <c r="D803" s="329"/>
      <c r="E803" s="270" t="s">
        <v>853</v>
      </c>
      <c r="F803" s="505">
        <f t="shared" si="147"/>
        <v>1.5</v>
      </c>
      <c r="G803" s="505"/>
      <c r="H803" s="505">
        <f t="shared" si="147"/>
        <v>1.5</v>
      </c>
      <c r="I803" s="311">
        <f t="shared" si="147"/>
        <v>1.5</v>
      </c>
      <c r="J803" s="311"/>
      <c r="K803" s="311">
        <f t="shared" si="147"/>
        <v>1.5</v>
      </c>
      <c r="L803" s="311">
        <f t="shared" si="147"/>
        <v>1.5</v>
      </c>
      <c r="M803" s="311"/>
      <c r="N803" s="311">
        <f t="shared" si="147"/>
        <v>1.5</v>
      </c>
    </row>
    <row r="804" spans="1:14" ht="26.25" x14ac:dyDescent="0.25">
      <c r="A804" s="34"/>
      <c r="B804" s="34"/>
      <c r="C804" s="245" t="s">
        <v>249</v>
      </c>
      <c r="D804" s="255"/>
      <c r="E804" s="272" t="s">
        <v>480</v>
      </c>
      <c r="F804" s="494">
        <f t="shared" si="147"/>
        <v>1.5</v>
      </c>
      <c r="G804" s="494"/>
      <c r="H804" s="494">
        <f t="shared" si="147"/>
        <v>1.5</v>
      </c>
      <c r="I804" s="247">
        <f t="shared" si="147"/>
        <v>1.5</v>
      </c>
      <c r="J804" s="247"/>
      <c r="K804" s="247">
        <f t="shared" si="147"/>
        <v>1.5</v>
      </c>
      <c r="L804" s="247">
        <f t="shared" si="147"/>
        <v>1.5</v>
      </c>
      <c r="M804" s="247"/>
      <c r="N804" s="247">
        <f t="shared" si="147"/>
        <v>1.5</v>
      </c>
    </row>
    <row r="805" spans="1:14" ht="39" x14ac:dyDescent="0.25">
      <c r="A805" s="344"/>
      <c r="B805" s="7"/>
      <c r="C805" s="248" t="s">
        <v>250</v>
      </c>
      <c r="D805" s="27"/>
      <c r="E805" s="26" t="s">
        <v>436</v>
      </c>
      <c r="F805" s="472">
        <f t="shared" si="147"/>
        <v>1.5</v>
      </c>
      <c r="G805" s="472"/>
      <c r="H805" s="472">
        <f t="shared" si="147"/>
        <v>1.5</v>
      </c>
      <c r="I805" s="29">
        <f t="shared" si="147"/>
        <v>1.5</v>
      </c>
      <c r="J805" s="29"/>
      <c r="K805" s="29">
        <f t="shared" si="147"/>
        <v>1.5</v>
      </c>
      <c r="L805" s="29">
        <f t="shared" si="147"/>
        <v>1.5</v>
      </c>
      <c r="M805" s="29"/>
      <c r="N805" s="29">
        <f t="shared" si="147"/>
        <v>1.5</v>
      </c>
    </row>
    <row r="806" spans="1:14" ht="25.5" x14ac:dyDescent="0.25">
      <c r="A806" s="344"/>
      <c r="B806" s="7"/>
      <c r="C806" s="230"/>
      <c r="D806" s="27" t="s">
        <v>64</v>
      </c>
      <c r="E806" s="28" t="s">
        <v>18</v>
      </c>
      <c r="F806" s="472">
        <v>1.5</v>
      </c>
      <c r="G806" s="472"/>
      <c r="H806" s="472">
        <v>1.5</v>
      </c>
      <c r="I806" s="29">
        <v>1.5</v>
      </c>
      <c r="J806" s="29"/>
      <c r="K806" s="29">
        <v>1.5</v>
      </c>
      <c r="L806" s="29">
        <v>1.5</v>
      </c>
      <c r="M806" s="29"/>
      <c r="N806" s="29">
        <v>1.5</v>
      </c>
    </row>
    <row r="807" spans="1:14" x14ac:dyDescent="0.25">
      <c r="A807" s="340"/>
      <c r="B807" s="7" t="s">
        <v>888</v>
      </c>
      <c r="C807" s="230"/>
      <c r="D807" s="229"/>
      <c r="E807" s="231" t="s">
        <v>889</v>
      </c>
      <c r="F807" s="502">
        <f>F808+F821</f>
        <v>17968</v>
      </c>
      <c r="G807" s="502">
        <f>G808+G821</f>
        <v>-38.799999999999997</v>
      </c>
      <c r="H807" s="502">
        <f>H808+H821</f>
        <v>17929.199999999997</v>
      </c>
      <c r="I807" s="297">
        <f>I808+I821</f>
        <v>17082.099999999999</v>
      </c>
      <c r="J807" s="297"/>
      <c r="K807" s="297">
        <f>K808+K821</f>
        <v>17082.099999999999</v>
      </c>
      <c r="L807" s="297">
        <f>L808+L821</f>
        <v>17167.099999999999</v>
      </c>
      <c r="M807" s="297"/>
      <c r="N807" s="297">
        <f>N808+N821</f>
        <v>17167.099999999999</v>
      </c>
    </row>
    <row r="808" spans="1:14" x14ac:dyDescent="0.25">
      <c r="A808" s="340"/>
      <c r="B808" s="7" t="s">
        <v>921</v>
      </c>
      <c r="C808" s="230"/>
      <c r="D808" s="229"/>
      <c r="E808" s="231" t="s">
        <v>922</v>
      </c>
      <c r="F808" s="502">
        <f t="shared" ref="F808:N810" si="148">F809</f>
        <v>17633</v>
      </c>
      <c r="G808" s="502">
        <f t="shared" si="148"/>
        <v>-38.799999999999997</v>
      </c>
      <c r="H808" s="502">
        <f t="shared" si="148"/>
        <v>17594.199999999997</v>
      </c>
      <c r="I808" s="297">
        <f t="shared" si="148"/>
        <v>16862.099999999999</v>
      </c>
      <c r="J808" s="297"/>
      <c r="K808" s="297">
        <f t="shared" si="148"/>
        <v>16862.099999999999</v>
      </c>
      <c r="L808" s="297">
        <f t="shared" si="148"/>
        <v>16947.099999999999</v>
      </c>
      <c r="M808" s="297"/>
      <c r="N808" s="297">
        <f t="shared" si="148"/>
        <v>16947.099999999999</v>
      </c>
    </row>
    <row r="809" spans="1:14" ht="25.5" x14ac:dyDescent="0.25">
      <c r="A809" s="340"/>
      <c r="B809" s="7"/>
      <c r="C809" s="230" t="s">
        <v>9</v>
      </c>
      <c r="D809" s="7"/>
      <c r="E809" s="233" t="s">
        <v>10</v>
      </c>
      <c r="F809" s="502">
        <f t="shared" si="148"/>
        <v>17633</v>
      </c>
      <c r="G809" s="502">
        <f t="shared" si="148"/>
        <v>-38.799999999999997</v>
      </c>
      <c r="H809" s="502">
        <f t="shared" si="148"/>
        <v>17594.199999999997</v>
      </c>
      <c r="I809" s="297">
        <f t="shared" si="148"/>
        <v>16862.099999999999</v>
      </c>
      <c r="J809" s="297"/>
      <c r="K809" s="297">
        <f t="shared" si="148"/>
        <v>16862.099999999999</v>
      </c>
      <c r="L809" s="297">
        <f t="shared" si="148"/>
        <v>16947.099999999999</v>
      </c>
      <c r="M809" s="297"/>
      <c r="N809" s="297">
        <f t="shared" si="148"/>
        <v>16947.099999999999</v>
      </c>
    </row>
    <row r="810" spans="1:14" ht="25.5" x14ac:dyDescent="0.25">
      <c r="A810" s="260"/>
      <c r="B810" s="235"/>
      <c r="C810" s="236" t="s">
        <v>194</v>
      </c>
      <c r="D810" s="235"/>
      <c r="E810" s="237" t="s">
        <v>195</v>
      </c>
      <c r="F810" s="492">
        <f t="shared" si="148"/>
        <v>17633</v>
      </c>
      <c r="G810" s="492">
        <f t="shared" si="148"/>
        <v>-38.799999999999997</v>
      </c>
      <c r="H810" s="492">
        <f t="shared" si="148"/>
        <v>17594.199999999997</v>
      </c>
      <c r="I810" s="238">
        <f t="shared" si="148"/>
        <v>16862.099999999999</v>
      </c>
      <c r="J810" s="238"/>
      <c r="K810" s="238">
        <f t="shared" si="148"/>
        <v>16862.099999999999</v>
      </c>
      <c r="L810" s="238">
        <f t="shared" si="148"/>
        <v>16947.099999999999</v>
      </c>
      <c r="M810" s="238"/>
      <c r="N810" s="238">
        <f t="shared" si="148"/>
        <v>16947.099999999999</v>
      </c>
    </row>
    <row r="811" spans="1:14" ht="25.5" x14ac:dyDescent="0.25">
      <c r="A811" s="294"/>
      <c r="B811" s="308"/>
      <c r="C811" s="309" t="s">
        <v>196</v>
      </c>
      <c r="D811" s="308"/>
      <c r="E811" s="310" t="s">
        <v>197</v>
      </c>
      <c r="F811" s="505">
        <f>F812+F815</f>
        <v>17633</v>
      </c>
      <c r="G811" s="505">
        <f>G812+G815</f>
        <v>-38.799999999999997</v>
      </c>
      <c r="H811" s="505">
        <f>H812+H815</f>
        <v>17594.199999999997</v>
      </c>
      <c r="I811" s="311">
        <f>I812+I815</f>
        <v>16862.099999999999</v>
      </c>
      <c r="J811" s="311"/>
      <c r="K811" s="311">
        <f>K812+K815</f>
        <v>16862.099999999999</v>
      </c>
      <c r="L811" s="311">
        <f>L812+L815</f>
        <v>16947.099999999999</v>
      </c>
      <c r="M811" s="311"/>
      <c r="N811" s="311">
        <f>N812+N815</f>
        <v>16947.099999999999</v>
      </c>
    </row>
    <row r="812" spans="1:14" ht="25.5" x14ac:dyDescent="0.25">
      <c r="A812" s="244"/>
      <c r="B812" s="34"/>
      <c r="C812" s="245" t="s">
        <v>208</v>
      </c>
      <c r="D812" s="34"/>
      <c r="E812" s="253" t="s">
        <v>209</v>
      </c>
      <c r="F812" s="494">
        <f t="shared" ref="F812:N813" si="149">F813</f>
        <v>17229.599999999999</v>
      </c>
      <c r="G812" s="494">
        <f t="shared" si="149"/>
        <v>0</v>
      </c>
      <c r="H812" s="494">
        <f t="shared" si="149"/>
        <v>17229.599999999999</v>
      </c>
      <c r="I812" s="247">
        <f t="shared" si="149"/>
        <v>16862.099999999999</v>
      </c>
      <c r="J812" s="247"/>
      <c r="K812" s="247">
        <f t="shared" si="149"/>
        <v>16862.099999999999</v>
      </c>
      <c r="L812" s="247">
        <f t="shared" si="149"/>
        <v>16862.099999999999</v>
      </c>
      <c r="M812" s="247"/>
      <c r="N812" s="247">
        <f t="shared" si="149"/>
        <v>16862.099999999999</v>
      </c>
    </row>
    <row r="813" spans="1:14" ht="25.5" x14ac:dyDescent="0.25">
      <c r="A813" s="344"/>
      <c r="B813" s="27"/>
      <c r="C813" s="248" t="s">
        <v>210</v>
      </c>
      <c r="D813" s="27"/>
      <c r="E813" s="264" t="s">
        <v>201</v>
      </c>
      <c r="F813" s="472">
        <f t="shared" si="149"/>
        <v>17229.599999999999</v>
      </c>
      <c r="G813" s="472">
        <f t="shared" si="149"/>
        <v>0</v>
      </c>
      <c r="H813" s="472">
        <f t="shared" si="149"/>
        <v>17229.599999999999</v>
      </c>
      <c r="I813" s="29">
        <f t="shared" si="149"/>
        <v>16862.099999999999</v>
      </c>
      <c r="J813" s="29"/>
      <c r="K813" s="29">
        <f t="shared" si="149"/>
        <v>16862.099999999999</v>
      </c>
      <c r="L813" s="29">
        <f t="shared" si="149"/>
        <v>16862.099999999999</v>
      </c>
      <c r="M813" s="29"/>
      <c r="N813" s="29">
        <f t="shared" si="149"/>
        <v>16862.099999999999</v>
      </c>
    </row>
    <row r="814" spans="1:14" ht="25.5" x14ac:dyDescent="0.25">
      <c r="A814" s="344"/>
      <c r="B814" s="27"/>
      <c r="C814" s="248"/>
      <c r="D814" s="27" t="s">
        <v>64</v>
      </c>
      <c r="E814" s="28" t="s">
        <v>65</v>
      </c>
      <c r="F814" s="472">
        <v>17229.599999999999</v>
      </c>
      <c r="G814" s="472"/>
      <c r="H814" s="472">
        <f>SUM(F814:G814)</f>
        <v>17229.599999999999</v>
      </c>
      <c r="I814" s="29">
        <v>16862.099999999999</v>
      </c>
      <c r="J814" s="29"/>
      <c r="K814" s="29">
        <v>16862.099999999999</v>
      </c>
      <c r="L814" s="29">
        <v>16862.099999999999</v>
      </c>
      <c r="M814" s="29"/>
      <c r="N814" s="29">
        <v>16862.099999999999</v>
      </c>
    </row>
    <row r="815" spans="1:14" ht="67.5" customHeight="1" x14ac:dyDescent="0.25">
      <c r="A815" s="244"/>
      <c r="B815" s="255"/>
      <c r="C815" s="245" t="s">
        <v>223</v>
      </c>
      <c r="D815" s="34"/>
      <c r="E815" s="37" t="s">
        <v>224</v>
      </c>
      <c r="F815" s="497">
        <f>F816+F819</f>
        <v>403.4</v>
      </c>
      <c r="G815" s="497">
        <f>G819</f>
        <v>-38.799999999999997</v>
      </c>
      <c r="H815" s="497">
        <f>H816+H819</f>
        <v>364.59999999999997</v>
      </c>
      <c r="I815" s="256">
        <f>I816</f>
        <v>0</v>
      </c>
      <c r="J815" s="256"/>
      <c r="K815" s="256">
        <f>K816</f>
        <v>0</v>
      </c>
      <c r="L815" s="256">
        <f>L816</f>
        <v>85</v>
      </c>
      <c r="M815" s="256"/>
      <c r="N815" s="256">
        <f>N816</f>
        <v>85</v>
      </c>
    </row>
    <row r="816" spans="1:14" s="42" customFormat="1" ht="28.5" customHeight="1" x14ac:dyDescent="0.25">
      <c r="A816" s="344"/>
      <c r="B816" s="9"/>
      <c r="C816" s="313" t="s">
        <v>465</v>
      </c>
      <c r="D816" s="10"/>
      <c r="E816" s="41" t="s">
        <v>459</v>
      </c>
      <c r="F816" s="473">
        <f>F817</f>
        <v>0</v>
      </c>
      <c r="G816" s="473"/>
      <c r="H816" s="473">
        <f>H817</f>
        <v>0</v>
      </c>
      <c r="I816" s="8">
        <v>0</v>
      </c>
      <c r="J816" s="8"/>
      <c r="K816" s="8">
        <v>0</v>
      </c>
      <c r="L816" s="8">
        <f>L817</f>
        <v>85</v>
      </c>
      <c r="M816" s="8"/>
      <c r="N816" s="8">
        <f>N817</f>
        <v>85</v>
      </c>
    </row>
    <row r="817" spans="1:14" s="42" customFormat="1" ht="25.5" x14ac:dyDescent="0.25">
      <c r="A817" s="344"/>
      <c r="B817" s="9"/>
      <c r="C817" s="346"/>
      <c r="D817" s="27" t="s">
        <v>64</v>
      </c>
      <c r="E817" s="28" t="s">
        <v>65</v>
      </c>
      <c r="F817" s="473">
        <v>0</v>
      </c>
      <c r="G817" s="473"/>
      <c r="H817" s="473">
        <v>0</v>
      </c>
      <c r="I817" s="8">
        <v>0</v>
      </c>
      <c r="J817" s="8"/>
      <c r="K817" s="8">
        <v>0</v>
      </c>
      <c r="L817" s="8">
        <f>L818</f>
        <v>85</v>
      </c>
      <c r="M817" s="8"/>
      <c r="N817" s="8">
        <f>N818</f>
        <v>85</v>
      </c>
    </row>
    <row r="818" spans="1:14" s="42" customFormat="1" x14ac:dyDescent="0.25">
      <c r="A818" s="344"/>
      <c r="B818" s="9"/>
      <c r="C818" s="314"/>
      <c r="D818" s="10"/>
      <c r="E818" s="28" t="s">
        <v>146</v>
      </c>
      <c r="F818" s="473">
        <v>0</v>
      </c>
      <c r="G818" s="473"/>
      <c r="H818" s="473">
        <v>0</v>
      </c>
      <c r="I818" s="8">
        <v>0</v>
      </c>
      <c r="J818" s="8"/>
      <c r="K818" s="8">
        <v>0</v>
      </c>
      <c r="L818" s="8">
        <v>85</v>
      </c>
      <c r="M818" s="8"/>
      <c r="N818" s="8">
        <v>85</v>
      </c>
    </row>
    <row r="819" spans="1:14" s="42" customFormat="1" ht="26.25" x14ac:dyDescent="0.25">
      <c r="A819" s="344"/>
      <c r="B819" s="9"/>
      <c r="C819" s="32" t="s">
        <v>1097</v>
      </c>
      <c r="D819" s="32"/>
      <c r="E819" s="26" t="s">
        <v>1106</v>
      </c>
      <c r="F819" s="473">
        <f>F820</f>
        <v>403.4</v>
      </c>
      <c r="G819" s="473">
        <f>G820</f>
        <v>-38.799999999999997</v>
      </c>
      <c r="H819" s="473">
        <f>H820</f>
        <v>364.59999999999997</v>
      </c>
      <c r="I819" s="8"/>
      <c r="J819" s="8"/>
      <c r="K819" s="8">
        <v>0</v>
      </c>
      <c r="L819" s="8"/>
      <c r="M819" s="8"/>
      <c r="N819" s="8">
        <v>0</v>
      </c>
    </row>
    <row r="820" spans="1:14" s="42" customFormat="1" ht="26.25" x14ac:dyDescent="0.25">
      <c r="A820" s="344"/>
      <c r="B820" s="9"/>
      <c r="C820" s="33"/>
      <c r="D820" s="32" t="s">
        <v>64</v>
      </c>
      <c r="E820" s="26" t="s">
        <v>65</v>
      </c>
      <c r="F820" s="473">
        <v>403.4</v>
      </c>
      <c r="G820" s="473">
        <v>-38.799999999999997</v>
      </c>
      <c r="H820" s="473">
        <f>SUM(F820:G820)</f>
        <v>364.59999999999997</v>
      </c>
      <c r="I820" s="8"/>
      <c r="J820" s="8"/>
      <c r="K820" s="8">
        <v>0</v>
      </c>
      <c r="L820" s="8"/>
      <c r="M820" s="8"/>
      <c r="N820" s="8">
        <v>0</v>
      </c>
    </row>
    <row r="821" spans="1:14" x14ac:dyDescent="0.25">
      <c r="A821" s="344"/>
      <c r="B821" s="7" t="s">
        <v>924</v>
      </c>
      <c r="C821" s="230"/>
      <c r="D821" s="7"/>
      <c r="E821" s="231" t="s">
        <v>925</v>
      </c>
      <c r="F821" s="491">
        <f t="shared" ref="F821:N821" si="150">F822</f>
        <v>335</v>
      </c>
      <c r="G821" s="491">
        <f t="shared" si="150"/>
        <v>0</v>
      </c>
      <c r="H821" s="491">
        <f t="shared" si="150"/>
        <v>335</v>
      </c>
      <c r="I821" s="232">
        <f t="shared" si="150"/>
        <v>220</v>
      </c>
      <c r="J821" s="232">
        <f t="shared" si="150"/>
        <v>0</v>
      </c>
      <c r="K821" s="232">
        <f t="shared" si="150"/>
        <v>220</v>
      </c>
      <c r="L821" s="232">
        <f t="shared" si="150"/>
        <v>220</v>
      </c>
      <c r="M821" s="232">
        <f t="shared" si="150"/>
        <v>0</v>
      </c>
      <c r="N821" s="232">
        <f t="shared" si="150"/>
        <v>220</v>
      </c>
    </row>
    <row r="822" spans="1:14" ht="25.5" x14ac:dyDescent="0.25">
      <c r="A822" s="344"/>
      <c r="B822" s="7"/>
      <c r="C822" s="230" t="s">
        <v>9</v>
      </c>
      <c r="D822" s="7"/>
      <c r="E822" s="233" t="s">
        <v>10</v>
      </c>
      <c r="F822" s="491">
        <f t="shared" ref="F822:N822" si="151">F823+F828</f>
        <v>335</v>
      </c>
      <c r="G822" s="491">
        <f t="shared" si="151"/>
        <v>0</v>
      </c>
      <c r="H822" s="491">
        <f t="shared" si="151"/>
        <v>335</v>
      </c>
      <c r="I822" s="232">
        <f t="shared" si="151"/>
        <v>220</v>
      </c>
      <c r="J822" s="232">
        <f t="shared" si="151"/>
        <v>0</v>
      </c>
      <c r="K822" s="232">
        <f t="shared" si="151"/>
        <v>220</v>
      </c>
      <c r="L822" s="232">
        <f t="shared" si="151"/>
        <v>220</v>
      </c>
      <c r="M822" s="232">
        <f t="shared" si="151"/>
        <v>0</v>
      </c>
      <c r="N822" s="232">
        <f t="shared" si="151"/>
        <v>220</v>
      </c>
    </row>
    <row r="823" spans="1:14" ht="25.5" x14ac:dyDescent="0.25">
      <c r="A823" s="260"/>
      <c r="B823" s="235"/>
      <c r="C823" s="236" t="s">
        <v>56</v>
      </c>
      <c r="D823" s="235"/>
      <c r="E823" s="237" t="s">
        <v>57</v>
      </c>
      <c r="F823" s="492">
        <f t="shared" ref="F823:N826" si="152">F824</f>
        <v>120</v>
      </c>
      <c r="G823" s="492">
        <f t="shared" si="152"/>
        <v>0</v>
      </c>
      <c r="H823" s="492">
        <f t="shared" si="152"/>
        <v>120</v>
      </c>
      <c r="I823" s="238">
        <f t="shared" si="152"/>
        <v>120</v>
      </c>
      <c r="J823" s="238">
        <f>J824</f>
        <v>0</v>
      </c>
      <c r="K823" s="238">
        <f t="shared" si="152"/>
        <v>120</v>
      </c>
      <c r="L823" s="238">
        <f>L824</f>
        <v>120</v>
      </c>
      <c r="M823" s="238">
        <f>M824</f>
        <v>0</v>
      </c>
      <c r="N823" s="238">
        <f t="shared" si="152"/>
        <v>120</v>
      </c>
    </row>
    <row r="824" spans="1:14" x14ac:dyDescent="0.25">
      <c r="A824" s="332"/>
      <c r="B824" s="308"/>
      <c r="C824" s="309" t="s">
        <v>117</v>
      </c>
      <c r="D824" s="308"/>
      <c r="E824" s="292" t="s">
        <v>118</v>
      </c>
      <c r="F824" s="505">
        <f t="shared" si="152"/>
        <v>120</v>
      </c>
      <c r="G824" s="505">
        <f t="shared" si="152"/>
        <v>0</v>
      </c>
      <c r="H824" s="505">
        <f t="shared" si="152"/>
        <v>120</v>
      </c>
      <c r="I824" s="311">
        <f t="shared" si="152"/>
        <v>120</v>
      </c>
      <c r="J824" s="311">
        <f>J825</f>
        <v>0</v>
      </c>
      <c r="K824" s="311">
        <f t="shared" si="152"/>
        <v>120</v>
      </c>
      <c r="L824" s="311">
        <f>L825</f>
        <v>120</v>
      </c>
      <c r="M824" s="311">
        <f>M825</f>
        <v>0</v>
      </c>
      <c r="N824" s="311">
        <f t="shared" si="152"/>
        <v>120</v>
      </c>
    </row>
    <row r="825" spans="1:14" ht="25.5" x14ac:dyDescent="0.25">
      <c r="A825" s="254"/>
      <c r="B825" s="34"/>
      <c r="C825" s="245" t="s">
        <v>119</v>
      </c>
      <c r="D825" s="34"/>
      <c r="E825" s="246" t="s">
        <v>120</v>
      </c>
      <c r="F825" s="494">
        <f>F826</f>
        <v>120</v>
      </c>
      <c r="G825" s="494">
        <f t="shared" si="152"/>
        <v>0</v>
      </c>
      <c r="H825" s="494">
        <f t="shared" si="152"/>
        <v>120</v>
      </c>
      <c r="I825" s="247">
        <f t="shared" si="152"/>
        <v>120</v>
      </c>
      <c r="J825" s="247">
        <f t="shared" si="152"/>
        <v>0</v>
      </c>
      <c r="K825" s="247">
        <f t="shared" si="152"/>
        <v>120</v>
      </c>
      <c r="L825" s="247">
        <f t="shared" si="152"/>
        <v>120</v>
      </c>
      <c r="M825" s="247">
        <f t="shared" si="152"/>
        <v>0</v>
      </c>
      <c r="N825" s="247">
        <f t="shared" si="152"/>
        <v>120</v>
      </c>
    </row>
    <row r="826" spans="1:14" ht="26.25" x14ac:dyDescent="0.25">
      <c r="A826" s="340"/>
      <c r="B826" s="7"/>
      <c r="C826" s="157" t="s">
        <v>1141</v>
      </c>
      <c r="D826" s="27"/>
      <c r="E826" s="159" t="s">
        <v>1140</v>
      </c>
      <c r="F826" s="472">
        <v>120</v>
      </c>
      <c r="G826" s="472"/>
      <c r="H826" s="472">
        <f t="shared" si="152"/>
        <v>120</v>
      </c>
      <c r="I826" s="29">
        <f t="shared" si="152"/>
        <v>120</v>
      </c>
      <c r="J826" s="29"/>
      <c r="K826" s="29">
        <f t="shared" si="152"/>
        <v>120</v>
      </c>
      <c r="L826" s="29">
        <f t="shared" si="152"/>
        <v>120</v>
      </c>
      <c r="M826" s="29"/>
      <c r="N826" s="29">
        <f t="shared" si="152"/>
        <v>120</v>
      </c>
    </row>
    <row r="827" spans="1:14" ht="25.5" x14ac:dyDescent="0.25">
      <c r="A827" s="340"/>
      <c r="B827" s="7"/>
      <c r="C827" s="248"/>
      <c r="D827" s="27" t="s">
        <v>64</v>
      </c>
      <c r="E827" s="28" t="s">
        <v>65</v>
      </c>
      <c r="F827" s="472">
        <v>120</v>
      </c>
      <c r="G827" s="472"/>
      <c r="H827" s="472">
        <v>120</v>
      </c>
      <c r="I827" s="29">
        <v>120</v>
      </c>
      <c r="J827" s="29"/>
      <c r="K827" s="29">
        <v>120</v>
      </c>
      <c r="L827" s="29">
        <v>120</v>
      </c>
      <c r="M827" s="29"/>
      <c r="N827" s="29">
        <v>120</v>
      </c>
    </row>
    <row r="828" spans="1:14" ht="25.5" x14ac:dyDescent="0.25">
      <c r="A828" s="260"/>
      <c r="B828" s="235"/>
      <c r="C828" s="236" t="s">
        <v>194</v>
      </c>
      <c r="D828" s="235"/>
      <c r="E828" s="237" t="s">
        <v>195</v>
      </c>
      <c r="F828" s="492">
        <f t="shared" ref="F828:N831" si="153">F829</f>
        <v>215</v>
      </c>
      <c r="G828" s="492">
        <f t="shared" si="153"/>
        <v>0</v>
      </c>
      <c r="H828" s="492">
        <f t="shared" si="153"/>
        <v>215</v>
      </c>
      <c r="I828" s="238">
        <f t="shared" si="153"/>
        <v>100</v>
      </c>
      <c r="J828" s="238"/>
      <c r="K828" s="238">
        <f t="shared" si="153"/>
        <v>100</v>
      </c>
      <c r="L828" s="238">
        <f t="shared" si="153"/>
        <v>100</v>
      </c>
      <c r="M828" s="238"/>
      <c r="N828" s="238">
        <f t="shared" si="153"/>
        <v>100</v>
      </c>
    </row>
    <row r="829" spans="1:14" ht="12.75" customHeight="1" x14ac:dyDescent="0.25">
      <c r="A829" s="294"/>
      <c r="B829" s="287"/>
      <c r="C829" s="288" t="s">
        <v>227</v>
      </c>
      <c r="D829" s="287"/>
      <c r="E829" s="289" t="s">
        <v>228</v>
      </c>
      <c r="F829" s="515">
        <f>F830+F833</f>
        <v>215</v>
      </c>
      <c r="G829" s="515">
        <f>G830+G833</f>
        <v>0</v>
      </c>
      <c r="H829" s="515">
        <f>H830+H833</f>
        <v>215</v>
      </c>
      <c r="I829" s="334">
        <f t="shared" si="153"/>
        <v>100</v>
      </c>
      <c r="J829" s="334"/>
      <c r="K829" s="334">
        <f t="shared" si="153"/>
        <v>100</v>
      </c>
      <c r="L829" s="334">
        <f t="shared" si="153"/>
        <v>100</v>
      </c>
      <c r="M829" s="334"/>
      <c r="N829" s="334">
        <f t="shared" si="153"/>
        <v>100</v>
      </c>
    </row>
    <row r="830" spans="1:14" ht="25.5" x14ac:dyDescent="0.25">
      <c r="A830" s="244"/>
      <c r="B830" s="34"/>
      <c r="C830" s="245" t="s">
        <v>229</v>
      </c>
      <c r="D830" s="34"/>
      <c r="E830" s="253" t="s">
        <v>935</v>
      </c>
      <c r="F830" s="495">
        <f t="shared" si="153"/>
        <v>72</v>
      </c>
      <c r="G830" s="495">
        <f t="shared" si="153"/>
        <v>0</v>
      </c>
      <c r="H830" s="495">
        <f t="shared" si="153"/>
        <v>72</v>
      </c>
      <c r="I830" s="250">
        <f t="shared" si="153"/>
        <v>100</v>
      </c>
      <c r="J830" s="250"/>
      <c r="K830" s="250">
        <f t="shared" si="153"/>
        <v>100</v>
      </c>
      <c r="L830" s="250">
        <f t="shared" si="153"/>
        <v>100</v>
      </c>
      <c r="M830" s="250"/>
      <c r="N830" s="250">
        <f t="shared" si="153"/>
        <v>100</v>
      </c>
    </row>
    <row r="831" spans="1:14" ht="89.25" x14ac:dyDescent="0.25">
      <c r="A831" s="344"/>
      <c r="B831" s="27"/>
      <c r="C831" s="248" t="s">
        <v>231</v>
      </c>
      <c r="D831" s="27"/>
      <c r="E831" s="28" t="s">
        <v>232</v>
      </c>
      <c r="F831" s="496">
        <f t="shared" si="153"/>
        <v>72</v>
      </c>
      <c r="G831" s="496">
        <f>G832</f>
        <v>0</v>
      </c>
      <c r="H831" s="496">
        <f t="shared" si="153"/>
        <v>72</v>
      </c>
      <c r="I831" s="252">
        <f t="shared" si="153"/>
        <v>100</v>
      </c>
      <c r="J831" s="252"/>
      <c r="K831" s="252">
        <f t="shared" si="153"/>
        <v>100</v>
      </c>
      <c r="L831" s="252">
        <f t="shared" si="153"/>
        <v>100</v>
      </c>
      <c r="M831" s="252"/>
      <c r="N831" s="252">
        <f t="shared" si="153"/>
        <v>100</v>
      </c>
    </row>
    <row r="832" spans="1:14" ht="25.5" x14ac:dyDescent="0.25">
      <c r="A832" s="10"/>
      <c r="B832" s="27"/>
      <c r="C832" s="248"/>
      <c r="D832" s="27" t="s">
        <v>64</v>
      </c>
      <c r="E832" s="28" t="s">
        <v>65</v>
      </c>
      <c r="F832" s="496">
        <v>72</v>
      </c>
      <c r="G832" s="496"/>
      <c r="H832" s="496">
        <f>SUM(F832:G832)</f>
        <v>72</v>
      </c>
      <c r="I832" s="252">
        <v>100</v>
      </c>
      <c r="J832" s="252"/>
      <c r="K832" s="252">
        <v>100</v>
      </c>
      <c r="L832" s="252">
        <v>100</v>
      </c>
      <c r="M832" s="252"/>
      <c r="N832" s="252">
        <v>100</v>
      </c>
    </row>
    <row r="833" spans="1:14" x14ac:dyDescent="0.25">
      <c r="A833" s="10"/>
      <c r="B833" s="27"/>
      <c r="C833" s="27" t="s">
        <v>1145</v>
      </c>
      <c r="D833" s="27"/>
      <c r="E833" s="28" t="s">
        <v>1146</v>
      </c>
      <c r="F833" s="496">
        <f>F834</f>
        <v>143</v>
      </c>
      <c r="G833" s="496"/>
      <c r="H833" s="496">
        <f>H834</f>
        <v>143</v>
      </c>
      <c r="I833" s="252"/>
      <c r="J833" s="252"/>
      <c r="K833" s="252">
        <v>0</v>
      </c>
      <c r="L833" s="252"/>
      <c r="M833" s="252"/>
      <c r="N833" s="252">
        <v>0</v>
      </c>
    </row>
    <row r="834" spans="1:14" ht="26.25" x14ac:dyDescent="0.25">
      <c r="A834" s="10"/>
      <c r="B834" s="27"/>
      <c r="C834" s="157"/>
      <c r="D834" s="157" t="s">
        <v>64</v>
      </c>
      <c r="E834" s="159" t="s">
        <v>65</v>
      </c>
      <c r="F834" s="496">
        <f>F835+F836</f>
        <v>143</v>
      </c>
      <c r="G834" s="496"/>
      <c r="H834" s="496">
        <f>H835+H836</f>
        <v>143</v>
      </c>
      <c r="I834" s="252"/>
      <c r="J834" s="252"/>
      <c r="K834" s="252">
        <v>0</v>
      </c>
      <c r="L834" s="252"/>
      <c r="M834" s="252"/>
      <c r="N834" s="252">
        <v>0</v>
      </c>
    </row>
    <row r="835" spans="1:14" x14ac:dyDescent="0.25">
      <c r="A835" s="10"/>
      <c r="B835" s="27"/>
      <c r="C835" s="157"/>
      <c r="D835" s="157"/>
      <c r="E835" s="28" t="s">
        <v>102</v>
      </c>
      <c r="F835" s="496">
        <v>100</v>
      </c>
      <c r="G835" s="496"/>
      <c r="H835" s="496">
        <v>100</v>
      </c>
      <c r="I835" s="252"/>
      <c r="J835" s="252"/>
      <c r="K835" s="252">
        <v>0</v>
      </c>
      <c r="L835" s="252"/>
      <c r="M835" s="252"/>
      <c r="N835" s="252">
        <v>0</v>
      </c>
    </row>
    <row r="836" spans="1:14" x14ac:dyDescent="0.25">
      <c r="A836" s="10"/>
      <c r="B836" s="27"/>
      <c r="C836" s="157"/>
      <c r="D836" s="157"/>
      <c r="E836" s="28" t="s">
        <v>146</v>
      </c>
      <c r="F836" s="496">
        <v>43</v>
      </c>
      <c r="G836" s="496"/>
      <c r="H836" s="496">
        <v>43</v>
      </c>
      <c r="I836" s="252"/>
      <c r="J836" s="252"/>
      <c r="K836" s="252">
        <v>0</v>
      </c>
      <c r="L836" s="252"/>
      <c r="M836" s="252"/>
      <c r="N836" s="252">
        <v>0</v>
      </c>
    </row>
    <row r="837" spans="1:14" x14ac:dyDescent="0.25">
      <c r="A837" s="229"/>
      <c r="B837" s="7" t="s">
        <v>936</v>
      </c>
      <c r="C837" s="230"/>
      <c r="D837" s="229"/>
      <c r="E837" s="231" t="s">
        <v>937</v>
      </c>
      <c r="F837" s="491">
        <f t="shared" ref="F837:L837" si="154">F838+F884</f>
        <v>73294.900000000009</v>
      </c>
      <c r="G837" s="491">
        <f t="shared" si="154"/>
        <v>20.521999999999998</v>
      </c>
      <c r="H837" s="491">
        <f t="shared" si="154"/>
        <v>73315.421999999991</v>
      </c>
      <c r="I837" s="232">
        <f t="shared" si="154"/>
        <v>56996.399999999994</v>
      </c>
      <c r="J837" s="232">
        <f t="shared" si="154"/>
        <v>357.2</v>
      </c>
      <c r="K837" s="232">
        <f t="shared" si="154"/>
        <v>57353.599999999991</v>
      </c>
      <c r="L837" s="232">
        <f t="shared" si="154"/>
        <v>57496.399999999994</v>
      </c>
      <c r="M837" s="232"/>
      <c r="N837" s="232">
        <f>N838+N884</f>
        <v>57496.399999999994</v>
      </c>
    </row>
    <row r="838" spans="1:14" x14ac:dyDescent="0.25">
      <c r="A838" s="225"/>
      <c r="B838" s="7" t="s">
        <v>938</v>
      </c>
      <c r="C838" s="230"/>
      <c r="D838" s="229"/>
      <c r="E838" s="231" t="s">
        <v>939</v>
      </c>
      <c r="F838" s="491">
        <f t="shared" ref="F838:N839" si="155">F839</f>
        <v>68968.800000000003</v>
      </c>
      <c r="G838" s="491">
        <f t="shared" si="155"/>
        <v>-4.878000000000001</v>
      </c>
      <c r="H838" s="491">
        <f t="shared" si="155"/>
        <v>68963.921999999991</v>
      </c>
      <c r="I838" s="232">
        <f t="shared" si="155"/>
        <v>53161.899999999994</v>
      </c>
      <c r="J838" s="232">
        <f t="shared" si="155"/>
        <v>357.2</v>
      </c>
      <c r="K838" s="232">
        <f t="shared" si="155"/>
        <v>53519.099999999991</v>
      </c>
      <c r="L838" s="232">
        <f t="shared" si="155"/>
        <v>53661.899999999994</v>
      </c>
      <c r="M838" s="232"/>
      <c r="N838" s="232">
        <f t="shared" si="155"/>
        <v>53661.899999999994</v>
      </c>
    </row>
    <row r="839" spans="1:14" ht="25.5" x14ac:dyDescent="0.25">
      <c r="A839" s="225"/>
      <c r="B839" s="7"/>
      <c r="C839" s="230" t="s">
        <v>9</v>
      </c>
      <c r="D839" s="7"/>
      <c r="E839" s="233" t="s">
        <v>10</v>
      </c>
      <c r="F839" s="491">
        <f t="shared" si="155"/>
        <v>68968.800000000003</v>
      </c>
      <c r="G839" s="491">
        <f t="shared" si="155"/>
        <v>-4.878000000000001</v>
      </c>
      <c r="H839" s="491">
        <f t="shared" si="155"/>
        <v>68963.921999999991</v>
      </c>
      <c r="I839" s="232">
        <f t="shared" si="155"/>
        <v>53161.899999999994</v>
      </c>
      <c r="J839" s="232">
        <f t="shared" si="155"/>
        <v>357.2</v>
      </c>
      <c r="K839" s="232">
        <f t="shared" si="155"/>
        <v>53519.099999999991</v>
      </c>
      <c r="L839" s="232">
        <f t="shared" si="155"/>
        <v>53661.899999999994</v>
      </c>
      <c r="M839" s="232"/>
      <c r="N839" s="232">
        <f t="shared" si="155"/>
        <v>53661.899999999994</v>
      </c>
    </row>
    <row r="840" spans="1:14" ht="25.5" x14ac:dyDescent="0.25">
      <c r="A840" s="260"/>
      <c r="B840" s="235"/>
      <c r="C840" s="236" t="s">
        <v>194</v>
      </c>
      <c r="D840" s="235"/>
      <c r="E840" s="237" t="s">
        <v>195</v>
      </c>
      <c r="F840" s="492">
        <f t="shared" ref="F840:L840" si="156">+F841</f>
        <v>68968.800000000003</v>
      </c>
      <c r="G840" s="492">
        <f t="shared" si="156"/>
        <v>-4.878000000000001</v>
      </c>
      <c r="H840" s="492">
        <f t="shared" si="156"/>
        <v>68963.921999999991</v>
      </c>
      <c r="I840" s="238">
        <f t="shared" si="156"/>
        <v>53161.899999999994</v>
      </c>
      <c r="J840" s="238">
        <f t="shared" si="156"/>
        <v>357.2</v>
      </c>
      <c r="K840" s="238">
        <f t="shared" si="156"/>
        <v>53519.099999999991</v>
      </c>
      <c r="L840" s="238">
        <f t="shared" si="156"/>
        <v>53661.899999999994</v>
      </c>
      <c r="M840" s="238"/>
      <c r="N840" s="238">
        <f>+N841</f>
        <v>53661.899999999994</v>
      </c>
    </row>
    <row r="841" spans="1:14" ht="25.5" x14ac:dyDescent="0.25">
      <c r="A841" s="332"/>
      <c r="B841" s="287"/>
      <c r="C841" s="288" t="s">
        <v>196</v>
      </c>
      <c r="D841" s="287"/>
      <c r="E841" s="289" t="s">
        <v>197</v>
      </c>
      <c r="F841" s="493">
        <f>F842+F845+F852+F855+F873+F880</f>
        <v>68968.800000000003</v>
      </c>
      <c r="G841" s="493">
        <f>G842+G845+G852+G855+G873+G880</f>
        <v>-4.878000000000001</v>
      </c>
      <c r="H841" s="493">
        <f>H842+H845+H852+H855+H873+H880</f>
        <v>68963.921999999991</v>
      </c>
      <c r="I841" s="290">
        <f>I842+I845+I852+I855</f>
        <v>53161.899999999994</v>
      </c>
      <c r="J841" s="290">
        <f>J842+J845+J852+J855</f>
        <v>357.2</v>
      </c>
      <c r="K841" s="290">
        <f>K842+K845+K852+K855</f>
        <v>53519.099999999991</v>
      </c>
      <c r="L841" s="290">
        <f>L842+L845+L852+L855</f>
        <v>53661.899999999994</v>
      </c>
      <c r="M841" s="290"/>
      <c r="N841" s="290">
        <f>N842+N845+N852+N855</f>
        <v>53661.899999999994</v>
      </c>
    </row>
    <row r="842" spans="1:14" ht="38.25" x14ac:dyDescent="0.25">
      <c r="A842" s="244"/>
      <c r="B842" s="34"/>
      <c r="C842" s="245" t="s">
        <v>198</v>
      </c>
      <c r="D842" s="34"/>
      <c r="E842" s="253" t="s">
        <v>199</v>
      </c>
      <c r="F842" s="494">
        <f t="shared" ref="F842:N843" si="157">F843</f>
        <v>37719.4</v>
      </c>
      <c r="G842" s="494">
        <f t="shared" si="157"/>
        <v>0</v>
      </c>
      <c r="H842" s="494">
        <f t="shared" si="157"/>
        <v>37719.4</v>
      </c>
      <c r="I842" s="247">
        <f t="shared" si="157"/>
        <v>35911.699999999997</v>
      </c>
      <c r="J842" s="247"/>
      <c r="K842" s="247">
        <f t="shared" si="157"/>
        <v>35911.699999999997</v>
      </c>
      <c r="L842" s="247">
        <f t="shared" si="157"/>
        <v>35911.699999999997</v>
      </c>
      <c r="M842" s="247"/>
      <c r="N842" s="247">
        <f t="shared" si="157"/>
        <v>35911.699999999997</v>
      </c>
    </row>
    <row r="843" spans="1:14" ht="25.5" x14ac:dyDescent="0.25">
      <c r="A843" s="225"/>
      <c r="B843" s="27"/>
      <c r="C843" s="248" t="s">
        <v>200</v>
      </c>
      <c r="D843" s="27"/>
      <c r="E843" s="264" t="s">
        <v>201</v>
      </c>
      <c r="F843" s="472">
        <f t="shared" si="157"/>
        <v>37719.4</v>
      </c>
      <c r="G843" s="472">
        <f t="shared" si="157"/>
        <v>0</v>
      </c>
      <c r="H843" s="472">
        <f t="shared" si="157"/>
        <v>37719.4</v>
      </c>
      <c r="I843" s="29">
        <f t="shared" si="157"/>
        <v>35911.699999999997</v>
      </c>
      <c r="J843" s="29"/>
      <c r="K843" s="29">
        <f t="shared" si="157"/>
        <v>35911.699999999997</v>
      </c>
      <c r="L843" s="29">
        <f t="shared" si="157"/>
        <v>35911.699999999997</v>
      </c>
      <c r="M843" s="29"/>
      <c r="N843" s="29">
        <f t="shared" si="157"/>
        <v>35911.699999999997</v>
      </c>
    </row>
    <row r="844" spans="1:14" ht="25.5" x14ac:dyDescent="0.25">
      <c r="A844" s="225"/>
      <c r="B844" s="27"/>
      <c r="C844" s="248"/>
      <c r="D844" s="27" t="s">
        <v>64</v>
      </c>
      <c r="E844" s="28" t="s">
        <v>65</v>
      </c>
      <c r="F844" s="518">
        <v>37719.4</v>
      </c>
      <c r="G844" s="518"/>
      <c r="H844" s="518">
        <f>SUM(F844:G844)</f>
        <v>37719.4</v>
      </c>
      <c r="I844" s="176">
        <v>35911.699999999997</v>
      </c>
      <c r="J844" s="176"/>
      <c r="K844" s="176">
        <v>35911.699999999997</v>
      </c>
      <c r="L844" s="176">
        <v>35911.699999999997</v>
      </c>
      <c r="M844" s="176"/>
      <c r="N844" s="176">
        <v>35911.699999999997</v>
      </c>
    </row>
    <row r="845" spans="1:14" x14ac:dyDescent="0.25">
      <c r="A845" s="244"/>
      <c r="B845" s="34"/>
      <c r="C845" s="245" t="s">
        <v>202</v>
      </c>
      <c r="D845" s="34"/>
      <c r="E845" s="253" t="s">
        <v>409</v>
      </c>
      <c r="F845" s="494">
        <f>F846+F848+F850</f>
        <v>17062.7</v>
      </c>
      <c r="G845" s="494">
        <f>G846+G848+G850</f>
        <v>0</v>
      </c>
      <c r="H845" s="494">
        <f>H846+H848+H850</f>
        <v>17062.7</v>
      </c>
      <c r="I845" s="247">
        <f>I846+I848</f>
        <v>16015.1</v>
      </c>
      <c r="J845" s="247"/>
      <c r="K845" s="247">
        <f>K846+K848</f>
        <v>16015.1</v>
      </c>
      <c r="L845" s="247">
        <f>L846+L848</f>
        <v>16515.099999999999</v>
      </c>
      <c r="M845" s="247"/>
      <c r="N845" s="247">
        <f>N846+N848</f>
        <v>16515.099999999999</v>
      </c>
    </row>
    <row r="846" spans="1:14" ht="25.5" x14ac:dyDescent="0.25">
      <c r="A846" s="225"/>
      <c r="B846" s="27"/>
      <c r="C846" s="248" t="s">
        <v>940</v>
      </c>
      <c r="D846" s="27"/>
      <c r="E846" s="264" t="s">
        <v>201</v>
      </c>
      <c r="F846" s="472">
        <f>F847</f>
        <v>16298.7</v>
      </c>
      <c r="G846" s="472">
        <f>G847</f>
        <v>0</v>
      </c>
      <c r="H846" s="472">
        <f>H847</f>
        <v>16298.7</v>
      </c>
      <c r="I846" s="29">
        <f>I847</f>
        <v>16015.1</v>
      </c>
      <c r="J846" s="29"/>
      <c r="K846" s="29">
        <f>K847</f>
        <v>16015.1</v>
      </c>
      <c r="L846" s="29">
        <f>L847</f>
        <v>16015.1</v>
      </c>
      <c r="M846" s="29"/>
      <c r="N846" s="29">
        <f>N847</f>
        <v>16015.1</v>
      </c>
    </row>
    <row r="847" spans="1:14" ht="25.5" x14ac:dyDescent="0.25">
      <c r="A847" s="225"/>
      <c r="B847" s="27"/>
      <c r="C847" s="248"/>
      <c r="D847" s="27" t="s">
        <v>64</v>
      </c>
      <c r="E847" s="28" t="s">
        <v>65</v>
      </c>
      <c r="F847" s="469">
        <v>16298.7</v>
      </c>
      <c r="G847" s="469"/>
      <c r="H847" s="469">
        <f>SUM(F847:G847)</f>
        <v>16298.7</v>
      </c>
      <c r="I847" s="160">
        <v>16015.1</v>
      </c>
      <c r="J847" s="160"/>
      <c r="K847" s="160">
        <v>16015.1</v>
      </c>
      <c r="L847" s="160">
        <v>16015.1</v>
      </c>
      <c r="M847" s="160"/>
      <c r="N847" s="160">
        <v>16015.1</v>
      </c>
    </row>
    <row r="848" spans="1:14" ht="25.5" x14ac:dyDescent="0.25">
      <c r="A848" s="225"/>
      <c r="B848" s="27"/>
      <c r="C848" s="248" t="s">
        <v>204</v>
      </c>
      <c r="D848" s="27"/>
      <c r="E848" s="28" t="s">
        <v>205</v>
      </c>
      <c r="F848" s="496">
        <f>F849</f>
        <v>500</v>
      </c>
      <c r="G848" s="496"/>
      <c r="H848" s="496">
        <f>H849</f>
        <v>500</v>
      </c>
      <c r="I848" s="252">
        <f>I849</f>
        <v>0</v>
      </c>
      <c r="J848" s="252"/>
      <c r="K848" s="252">
        <f>K849</f>
        <v>0</v>
      </c>
      <c r="L848" s="252">
        <f>L849</f>
        <v>500</v>
      </c>
      <c r="M848" s="252"/>
      <c r="N848" s="252">
        <f>N849</f>
        <v>500</v>
      </c>
    </row>
    <row r="849" spans="1:14" ht="25.5" x14ac:dyDescent="0.25">
      <c r="A849" s="225"/>
      <c r="B849" s="27"/>
      <c r="C849" s="248"/>
      <c r="D849" s="27" t="s">
        <v>64</v>
      </c>
      <c r="E849" s="28" t="s">
        <v>65</v>
      </c>
      <c r="F849" s="472">
        <v>500</v>
      </c>
      <c r="G849" s="472"/>
      <c r="H849" s="472">
        <v>500</v>
      </c>
      <c r="I849" s="29">
        <v>0</v>
      </c>
      <c r="J849" s="29"/>
      <c r="K849" s="29">
        <v>0</v>
      </c>
      <c r="L849" s="29">
        <v>500</v>
      </c>
      <c r="M849" s="29"/>
      <c r="N849" s="29">
        <v>500</v>
      </c>
    </row>
    <row r="850" spans="1:14" ht="26.25" x14ac:dyDescent="0.25">
      <c r="A850" s="225"/>
      <c r="B850" s="27"/>
      <c r="C850" s="157" t="s">
        <v>1101</v>
      </c>
      <c r="D850" s="157"/>
      <c r="E850" s="159" t="s">
        <v>1100</v>
      </c>
      <c r="F850" s="472">
        <v>264</v>
      </c>
      <c r="G850" s="472"/>
      <c r="H850" s="472">
        <f>H851</f>
        <v>264</v>
      </c>
      <c r="I850" s="29"/>
      <c r="J850" s="29"/>
      <c r="K850" s="29">
        <v>0</v>
      </c>
      <c r="L850" s="29"/>
      <c r="M850" s="29"/>
      <c r="N850" s="29">
        <v>0</v>
      </c>
    </row>
    <row r="851" spans="1:14" ht="26.25" x14ac:dyDescent="0.25">
      <c r="A851" s="225"/>
      <c r="B851" s="27"/>
      <c r="C851" s="157"/>
      <c r="D851" s="157" t="s">
        <v>64</v>
      </c>
      <c r="E851" s="159" t="s">
        <v>65</v>
      </c>
      <c r="F851" s="472">
        <v>264</v>
      </c>
      <c r="G851" s="472"/>
      <c r="H851" s="472">
        <v>264</v>
      </c>
      <c r="I851" s="29"/>
      <c r="J851" s="29"/>
      <c r="K851" s="29">
        <v>0</v>
      </c>
      <c r="L851" s="29"/>
      <c r="M851" s="29"/>
      <c r="N851" s="29">
        <v>0</v>
      </c>
    </row>
    <row r="852" spans="1:14" ht="25.5" x14ac:dyDescent="0.25">
      <c r="A852" s="254"/>
      <c r="B852" s="34"/>
      <c r="C852" s="245" t="s">
        <v>206</v>
      </c>
      <c r="D852" s="34"/>
      <c r="E852" s="253" t="s">
        <v>410</v>
      </c>
      <c r="F852" s="494">
        <f t="shared" ref="F852:N853" si="158">F853</f>
        <v>1259.2</v>
      </c>
      <c r="G852" s="494">
        <f t="shared" si="158"/>
        <v>0</v>
      </c>
      <c r="H852" s="494">
        <f t="shared" si="158"/>
        <v>1259.2</v>
      </c>
      <c r="I852" s="247">
        <f t="shared" si="158"/>
        <v>1235.0999999999999</v>
      </c>
      <c r="J852" s="247"/>
      <c r="K852" s="247">
        <f t="shared" si="158"/>
        <v>1235.0999999999999</v>
      </c>
      <c r="L852" s="247">
        <f t="shared" si="158"/>
        <v>1235.0999999999999</v>
      </c>
      <c r="M852" s="247"/>
      <c r="N852" s="247">
        <f t="shared" si="158"/>
        <v>1235.0999999999999</v>
      </c>
    </row>
    <row r="853" spans="1:14" ht="25.5" x14ac:dyDescent="0.25">
      <c r="A853" s="225"/>
      <c r="B853" s="27"/>
      <c r="C853" s="248" t="s">
        <v>207</v>
      </c>
      <c r="D853" s="27"/>
      <c r="E853" s="264" t="s">
        <v>201</v>
      </c>
      <c r="F853" s="472">
        <f t="shared" si="158"/>
        <v>1259.2</v>
      </c>
      <c r="G853" s="472">
        <f t="shared" si="158"/>
        <v>0</v>
      </c>
      <c r="H853" s="472">
        <f t="shared" si="158"/>
        <v>1259.2</v>
      </c>
      <c r="I853" s="29">
        <f t="shared" si="158"/>
        <v>1235.0999999999999</v>
      </c>
      <c r="J853" s="29"/>
      <c r="K853" s="29">
        <f t="shared" si="158"/>
        <v>1235.0999999999999</v>
      </c>
      <c r="L853" s="29">
        <f t="shared" si="158"/>
        <v>1235.0999999999999</v>
      </c>
      <c r="M853" s="29"/>
      <c r="N853" s="29">
        <f t="shared" si="158"/>
        <v>1235.0999999999999</v>
      </c>
    </row>
    <row r="854" spans="1:14" ht="25.5" x14ac:dyDescent="0.25">
      <c r="A854" s="225"/>
      <c r="B854" s="27"/>
      <c r="C854" s="248"/>
      <c r="D854" s="27" t="s">
        <v>64</v>
      </c>
      <c r="E854" s="28" t="s">
        <v>65</v>
      </c>
      <c r="F854" s="472">
        <v>1259.2</v>
      </c>
      <c r="G854" s="472"/>
      <c r="H854" s="472">
        <f>SUM(F854:G854)</f>
        <v>1259.2</v>
      </c>
      <c r="I854" s="29">
        <v>1235.0999999999999</v>
      </c>
      <c r="J854" s="29"/>
      <c r="K854" s="29">
        <v>1235.0999999999999</v>
      </c>
      <c r="L854" s="29">
        <v>1235.0999999999999</v>
      </c>
      <c r="M854" s="29"/>
      <c r="N854" s="29">
        <v>1235.0999999999999</v>
      </c>
    </row>
    <row r="855" spans="1:14" ht="51" x14ac:dyDescent="0.25">
      <c r="A855" s="254"/>
      <c r="B855" s="255"/>
      <c r="C855" s="245" t="s">
        <v>941</v>
      </c>
      <c r="D855" s="34"/>
      <c r="E855" s="347" t="s">
        <v>942</v>
      </c>
      <c r="F855" s="494">
        <f>F856+F861+F866+F871</f>
        <v>7614.4999999999991</v>
      </c>
      <c r="G855" s="494">
        <f>G856+G861+G866+G871</f>
        <v>-4.9040000000000008</v>
      </c>
      <c r="H855" s="494">
        <f>H856+H861+H866+H871</f>
        <v>7609.5959999999995</v>
      </c>
      <c r="I855" s="247">
        <f t="shared" ref="I855:N855" si="159">I856</f>
        <v>0</v>
      </c>
      <c r="J855" s="247">
        <f t="shared" si="159"/>
        <v>357.2</v>
      </c>
      <c r="K855" s="247">
        <f t="shared" si="159"/>
        <v>357.2</v>
      </c>
      <c r="L855" s="247">
        <f t="shared" si="159"/>
        <v>0</v>
      </c>
      <c r="M855" s="247"/>
      <c r="N855" s="247">
        <f t="shared" si="159"/>
        <v>0</v>
      </c>
    </row>
    <row r="856" spans="1:14" ht="51" x14ac:dyDescent="0.25">
      <c r="A856" s="225"/>
      <c r="B856" s="27"/>
      <c r="C856" s="248" t="s">
        <v>225</v>
      </c>
      <c r="D856" s="7"/>
      <c r="E856" s="28" t="s">
        <v>226</v>
      </c>
      <c r="F856" s="472">
        <f t="shared" ref="F856:L856" si="160">F857</f>
        <v>4416.8</v>
      </c>
      <c r="G856" s="473">
        <f t="shared" si="160"/>
        <v>4.3999999999999997E-2</v>
      </c>
      <c r="H856" s="472">
        <f t="shared" si="160"/>
        <v>4416.8440000000001</v>
      </c>
      <c r="I856" s="29">
        <f t="shared" si="160"/>
        <v>0</v>
      </c>
      <c r="J856" s="29">
        <f t="shared" si="160"/>
        <v>357.2</v>
      </c>
      <c r="K856" s="29">
        <f t="shared" si="160"/>
        <v>357.2</v>
      </c>
      <c r="L856" s="29">
        <f t="shared" si="160"/>
        <v>0</v>
      </c>
      <c r="M856" s="29"/>
      <c r="N856" s="29">
        <f>N857</f>
        <v>0</v>
      </c>
    </row>
    <row r="857" spans="1:14" ht="25.5" x14ac:dyDescent="0.25">
      <c r="A857" s="225"/>
      <c r="B857" s="27"/>
      <c r="C857" s="230"/>
      <c r="D857" s="27" t="s">
        <v>64</v>
      </c>
      <c r="E857" s="28" t="s">
        <v>65</v>
      </c>
      <c r="F857" s="472">
        <f>F858+F859</f>
        <v>4416.8</v>
      </c>
      <c r="G857" s="473">
        <f>G858+G859</f>
        <v>4.3999999999999997E-2</v>
      </c>
      <c r="H857" s="472">
        <f>H858+H859</f>
        <v>4416.8440000000001</v>
      </c>
      <c r="I857" s="29">
        <v>0</v>
      </c>
      <c r="J857" s="29">
        <f>J858+J859</f>
        <v>357.2</v>
      </c>
      <c r="K857" s="29">
        <f>K858+K859</f>
        <v>357.2</v>
      </c>
      <c r="L857" s="29">
        <v>0</v>
      </c>
      <c r="M857" s="29"/>
      <c r="N857" s="29">
        <v>0</v>
      </c>
    </row>
    <row r="858" spans="1:14" x14ac:dyDescent="0.25">
      <c r="A858" s="225"/>
      <c r="B858" s="27"/>
      <c r="C858" s="230"/>
      <c r="D858" s="27"/>
      <c r="E858" s="28" t="s">
        <v>102</v>
      </c>
      <c r="F858" s="472">
        <v>3312.6</v>
      </c>
      <c r="G858" s="473">
        <v>3.3000000000000002E-2</v>
      </c>
      <c r="H858" s="472">
        <f>SUM(F858:G858)</f>
        <v>3312.6329999999998</v>
      </c>
      <c r="I858" s="29">
        <v>0</v>
      </c>
      <c r="J858" s="29"/>
      <c r="K858" s="29">
        <v>0</v>
      </c>
      <c r="L858" s="29">
        <v>0</v>
      </c>
      <c r="M858" s="29"/>
      <c r="N858" s="29">
        <v>0</v>
      </c>
    </row>
    <row r="859" spans="1:14" x14ac:dyDescent="0.25">
      <c r="A859" s="225"/>
      <c r="B859" s="27"/>
      <c r="C859" s="230"/>
      <c r="D859" s="27"/>
      <c r="E859" s="28" t="s">
        <v>146</v>
      </c>
      <c r="F859" s="472">
        <v>1104.2</v>
      </c>
      <c r="G859" s="473">
        <v>1.0999999999999999E-2</v>
      </c>
      <c r="H859" s="472">
        <f>SUM(F859:G859)</f>
        <v>1104.211</v>
      </c>
      <c r="I859" s="29">
        <v>0</v>
      </c>
      <c r="J859" s="29">
        <v>357.2</v>
      </c>
      <c r="K859" s="29">
        <f>I859+J859</f>
        <v>357.2</v>
      </c>
      <c r="L859" s="29">
        <v>0</v>
      </c>
      <c r="M859" s="29"/>
      <c r="N859" s="29">
        <v>0</v>
      </c>
    </row>
    <row r="860" spans="1:14" ht="39" x14ac:dyDescent="0.25">
      <c r="A860" s="225"/>
      <c r="B860" s="27"/>
      <c r="C860" s="32" t="s">
        <v>1054</v>
      </c>
      <c r="D860" s="27"/>
      <c r="E860" s="26" t="s">
        <v>1003</v>
      </c>
      <c r="F860" s="476">
        <f>F861+F866</f>
        <v>2418.3000000000002</v>
      </c>
      <c r="G860" s="482">
        <f>G861+G866</f>
        <v>5.1999999999999602E-2</v>
      </c>
      <c r="H860" s="476">
        <f>H861+H866</f>
        <v>2418.3519999999999</v>
      </c>
      <c r="I860" s="38"/>
      <c r="J860" s="38"/>
      <c r="K860" s="38">
        <v>0</v>
      </c>
      <c r="L860" s="38"/>
      <c r="M860" s="38"/>
      <c r="N860" s="38">
        <v>0</v>
      </c>
    </row>
    <row r="861" spans="1:14" s="384" customFormat="1" ht="39" x14ac:dyDescent="0.25">
      <c r="A861" s="422"/>
      <c r="B861" s="423"/>
      <c r="C861" s="416"/>
      <c r="D861" s="416"/>
      <c r="E861" s="417" t="s">
        <v>1053</v>
      </c>
      <c r="F861" s="480">
        <f>F862</f>
        <v>1824.1</v>
      </c>
      <c r="G861" s="599">
        <f>G862</f>
        <v>1.2999999999999901E-2</v>
      </c>
      <c r="H861" s="480">
        <f>H862</f>
        <v>1824.1129999999998</v>
      </c>
      <c r="I861" s="375"/>
      <c r="J861" s="375"/>
      <c r="K861" s="375">
        <v>0</v>
      </c>
      <c r="L861" s="375"/>
      <c r="M861" s="375"/>
      <c r="N861" s="375">
        <v>0</v>
      </c>
    </row>
    <row r="862" spans="1:14" ht="26.25" x14ac:dyDescent="0.25">
      <c r="A862" s="225"/>
      <c r="B862" s="27"/>
      <c r="C862" s="32"/>
      <c r="D862" s="32" t="s">
        <v>64</v>
      </c>
      <c r="E862" s="26" t="s">
        <v>65</v>
      </c>
      <c r="F862" s="476">
        <f>F863+F864+F865</f>
        <v>1824.1</v>
      </c>
      <c r="G862" s="482">
        <f>G863+G864+G865</f>
        <v>1.2999999999999901E-2</v>
      </c>
      <c r="H862" s="476">
        <f>H863+H864+H865</f>
        <v>1824.1129999999998</v>
      </c>
      <c r="I862" s="38"/>
      <c r="J862" s="38"/>
      <c r="K862" s="38">
        <v>0</v>
      </c>
      <c r="L862" s="38"/>
      <c r="M862" s="38"/>
      <c r="N862" s="38">
        <v>0</v>
      </c>
    </row>
    <row r="863" spans="1:14" x14ac:dyDescent="0.25">
      <c r="A863" s="225"/>
      <c r="B863" s="27"/>
      <c r="C863" s="33"/>
      <c r="D863" s="32"/>
      <c r="E863" s="188" t="s">
        <v>173</v>
      </c>
      <c r="F863" s="476">
        <v>1188.0999999999999</v>
      </c>
      <c r="G863" s="482">
        <v>10.272</v>
      </c>
      <c r="H863" s="476">
        <f>SUM(F863+G863)</f>
        <v>1198.3719999999998</v>
      </c>
      <c r="I863" s="38"/>
      <c r="J863" s="38"/>
      <c r="K863" s="38">
        <v>0</v>
      </c>
      <c r="L863" s="38"/>
      <c r="M863" s="38"/>
      <c r="N863" s="38">
        <v>0</v>
      </c>
    </row>
    <row r="864" spans="1:14" x14ac:dyDescent="0.25">
      <c r="A864" s="225"/>
      <c r="B864" s="27"/>
      <c r="C864" s="33"/>
      <c r="D864" s="32"/>
      <c r="E864" s="188" t="s">
        <v>102</v>
      </c>
      <c r="F864" s="476">
        <v>396</v>
      </c>
      <c r="G864" s="482">
        <v>3.4569999999999999</v>
      </c>
      <c r="H864" s="476">
        <f t="shared" ref="H864:H865" si="161">SUM(F864+G864)</f>
        <v>399.45699999999999</v>
      </c>
      <c r="I864" s="38"/>
      <c r="J864" s="38"/>
      <c r="K864" s="38">
        <v>0</v>
      </c>
      <c r="L864" s="38"/>
      <c r="M864" s="38"/>
      <c r="N864" s="38">
        <v>0</v>
      </c>
    </row>
    <row r="865" spans="1:14" x14ac:dyDescent="0.25">
      <c r="A865" s="225"/>
      <c r="B865" s="27"/>
      <c r="C865" s="33"/>
      <c r="D865" s="32"/>
      <c r="E865" s="159" t="s">
        <v>146</v>
      </c>
      <c r="F865" s="476">
        <v>240</v>
      </c>
      <c r="G865" s="482">
        <v>-13.715999999999999</v>
      </c>
      <c r="H865" s="476">
        <f t="shared" si="161"/>
        <v>226.28399999999999</v>
      </c>
      <c r="I865" s="38"/>
      <c r="J865" s="38"/>
      <c r="K865" s="38">
        <v>0</v>
      </c>
      <c r="L865" s="38"/>
      <c r="M865" s="38"/>
      <c r="N865" s="38">
        <v>0</v>
      </c>
    </row>
    <row r="866" spans="1:14" s="384" customFormat="1" ht="39" x14ac:dyDescent="0.25">
      <c r="A866" s="422"/>
      <c r="B866" s="423"/>
      <c r="C866" s="416"/>
      <c r="D866" s="416"/>
      <c r="E866" s="417" t="s">
        <v>1004</v>
      </c>
      <c r="F866" s="480">
        <f>F867</f>
        <v>594.20000000000005</v>
      </c>
      <c r="G866" s="599">
        <f>G867</f>
        <v>3.8999999999999702E-2</v>
      </c>
      <c r="H866" s="480">
        <f>H867</f>
        <v>594.23900000000003</v>
      </c>
      <c r="I866" s="375"/>
      <c r="J866" s="375"/>
      <c r="K866" s="375">
        <v>0</v>
      </c>
      <c r="L866" s="375"/>
      <c r="M866" s="375"/>
      <c r="N866" s="375">
        <v>0</v>
      </c>
    </row>
    <row r="867" spans="1:14" ht="25.5" x14ac:dyDescent="0.25">
      <c r="A867" s="225"/>
      <c r="B867" s="27"/>
      <c r="C867" s="33"/>
      <c r="D867" s="32" t="s">
        <v>64</v>
      </c>
      <c r="E867" s="28" t="s">
        <v>65</v>
      </c>
      <c r="F867" s="476">
        <f>F868+F869+F870</f>
        <v>594.20000000000005</v>
      </c>
      <c r="G867" s="482">
        <f>G868+G869+G870</f>
        <v>3.8999999999999702E-2</v>
      </c>
      <c r="H867" s="476">
        <f>H868+H869+H870</f>
        <v>594.23900000000003</v>
      </c>
      <c r="I867" s="38"/>
      <c r="J867" s="38"/>
      <c r="K867" s="38">
        <v>0</v>
      </c>
      <c r="L867" s="38"/>
      <c r="M867" s="38"/>
      <c r="N867" s="38">
        <v>0</v>
      </c>
    </row>
    <row r="868" spans="1:14" x14ac:dyDescent="0.25">
      <c r="A868" s="225"/>
      <c r="B868" s="27"/>
      <c r="C868" s="33"/>
      <c r="D868" s="32"/>
      <c r="E868" s="188" t="s">
        <v>173</v>
      </c>
      <c r="F868" s="476">
        <v>400.7</v>
      </c>
      <c r="G868" s="482">
        <v>-10.308</v>
      </c>
      <c r="H868" s="476">
        <f>G868+F868</f>
        <v>390.392</v>
      </c>
      <c r="I868" s="38"/>
      <c r="J868" s="38"/>
      <c r="K868" s="38">
        <v>0</v>
      </c>
      <c r="L868" s="38"/>
      <c r="M868" s="38"/>
      <c r="N868" s="38">
        <v>0</v>
      </c>
    </row>
    <row r="869" spans="1:14" x14ac:dyDescent="0.25">
      <c r="A869" s="225"/>
      <c r="B869" s="27"/>
      <c r="C869" s="33"/>
      <c r="D869" s="32"/>
      <c r="E869" s="188" t="s">
        <v>102</v>
      </c>
      <c r="F869" s="476">
        <v>133.5</v>
      </c>
      <c r="G869" s="482">
        <v>-3.3690000000000002</v>
      </c>
      <c r="H869" s="476">
        <f t="shared" ref="H869:H870" si="162">G869+F869</f>
        <v>130.131</v>
      </c>
      <c r="I869" s="38"/>
      <c r="J869" s="38"/>
      <c r="K869" s="38">
        <v>0</v>
      </c>
      <c r="L869" s="38"/>
      <c r="M869" s="38"/>
      <c r="N869" s="38">
        <v>0</v>
      </c>
    </row>
    <row r="870" spans="1:14" x14ac:dyDescent="0.25">
      <c r="A870" s="225"/>
      <c r="B870" s="27"/>
      <c r="C870" s="33"/>
      <c r="D870" s="32"/>
      <c r="E870" s="159" t="s">
        <v>146</v>
      </c>
      <c r="F870" s="476">
        <v>60</v>
      </c>
      <c r="G870" s="482">
        <v>13.715999999999999</v>
      </c>
      <c r="H870" s="476">
        <f t="shared" si="162"/>
        <v>73.715999999999994</v>
      </c>
      <c r="I870" s="38"/>
      <c r="J870" s="38"/>
      <c r="K870" s="38">
        <v>0</v>
      </c>
      <c r="L870" s="38"/>
      <c r="M870" s="38"/>
      <c r="N870" s="38">
        <v>0</v>
      </c>
    </row>
    <row r="871" spans="1:14" ht="26.25" x14ac:dyDescent="0.25">
      <c r="A871" s="225"/>
      <c r="B871" s="27"/>
      <c r="C871" s="32" t="s">
        <v>1098</v>
      </c>
      <c r="D871" s="33"/>
      <c r="E871" s="427" t="s">
        <v>1099</v>
      </c>
      <c r="F871" s="476">
        <v>779.4</v>
      </c>
      <c r="G871" s="482">
        <f>G872</f>
        <v>-5</v>
      </c>
      <c r="H871" s="476">
        <f>SUM(H872)</f>
        <v>774.4</v>
      </c>
      <c r="I871" s="38"/>
      <c r="J871" s="38"/>
      <c r="K871" s="38">
        <v>0</v>
      </c>
      <c r="L871" s="38"/>
      <c r="M871" s="38"/>
      <c r="N871" s="38">
        <v>0</v>
      </c>
    </row>
    <row r="872" spans="1:14" ht="26.25" x14ac:dyDescent="0.25">
      <c r="A872" s="225"/>
      <c r="B872" s="27"/>
      <c r="C872" s="33"/>
      <c r="D872" s="32" t="s">
        <v>64</v>
      </c>
      <c r="E872" s="26" t="s">
        <v>65</v>
      </c>
      <c r="F872" s="476">
        <v>779.4</v>
      </c>
      <c r="G872" s="482">
        <v>-5</v>
      </c>
      <c r="H872" s="476">
        <f>SUM(F872:G872)</f>
        <v>774.4</v>
      </c>
      <c r="I872" s="38"/>
      <c r="J872" s="38"/>
      <c r="K872" s="38">
        <v>0</v>
      </c>
      <c r="L872" s="38"/>
      <c r="M872" s="38"/>
      <c r="N872" s="38">
        <v>0</v>
      </c>
    </row>
    <row r="873" spans="1:14" ht="25.5" x14ac:dyDescent="0.25">
      <c r="A873" s="254"/>
      <c r="B873" s="255"/>
      <c r="C873" s="34" t="s">
        <v>1050</v>
      </c>
      <c r="D873" s="34"/>
      <c r="E873" s="37" t="s">
        <v>1051</v>
      </c>
      <c r="F873" s="509">
        <f>F875</f>
        <v>5102.5</v>
      </c>
      <c r="G873" s="509">
        <f>G875</f>
        <v>0</v>
      </c>
      <c r="H873" s="509">
        <f>H875</f>
        <v>5102.4999999999991</v>
      </c>
      <c r="I873" s="432"/>
      <c r="J873" s="432"/>
      <c r="K873" s="432">
        <v>0</v>
      </c>
      <c r="L873" s="432"/>
      <c r="M873" s="432"/>
      <c r="N873" s="432">
        <v>0</v>
      </c>
    </row>
    <row r="874" spans="1:14" ht="38.25" x14ac:dyDescent="0.25">
      <c r="A874" s="225"/>
      <c r="B874" s="27"/>
      <c r="C874" s="27" t="s">
        <v>1057</v>
      </c>
      <c r="D874" s="27"/>
      <c r="E874" s="30" t="s">
        <v>1052</v>
      </c>
      <c r="F874" s="476">
        <f>F875</f>
        <v>5102.5</v>
      </c>
      <c r="G874" s="476">
        <f>G875</f>
        <v>0</v>
      </c>
      <c r="H874" s="476">
        <f>H875</f>
        <v>5102.4999999999991</v>
      </c>
      <c r="I874" s="182"/>
      <c r="J874" s="182"/>
      <c r="K874" s="182">
        <v>0</v>
      </c>
      <c r="L874" s="182"/>
      <c r="M874" s="182"/>
      <c r="N874" s="182">
        <v>0</v>
      </c>
    </row>
    <row r="875" spans="1:14" ht="25.5" x14ac:dyDescent="0.25">
      <c r="A875" s="225"/>
      <c r="B875" s="27"/>
      <c r="C875" s="7"/>
      <c r="D875" s="27" t="s">
        <v>64</v>
      </c>
      <c r="E875" s="28" t="s">
        <v>65</v>
      </c>
      <c r="F875" s="476">
        <f>F876+F877+F878+F879</f>
        <v>5102.5</v>
      </c>
      <c r="G875" s="476">
        <f>G876+G877+G878+G879</f>
        <v>0</v>
      </c>
      <c r="H875" s="476">
        <f>H876+H877+H878+H879</f>
        <v>5102.4999999999991</v>
      </c>
      <c r="I875" s="182"/>
      <c r="J875" s="182"/>
      <c r="K875" s="182">
        <v>0</v>
      </c>
      <c r="L875" s="182"/>
      <c r="M875" s="182"/>
      <c r="N875" s="182">
        <v>0</v>
      </c>
    </row>
    <row r="876" spans="1:14" x14ac:dyDescent="0.25">
      <c r="A876" s="225"/>
      <c r="B876" s="27"/>
      <c r="C876" s="7"/>
      <c r="D876" s="27"/>
      <c r="E876" s="188" t="s">
        <v>173</v>
      </c>
      <c r="F876" s="476">
        <v>3549.7</v>
      </c>
      <c r="G876" s="482">
        <v>946.65</v>
      </c>
      <c r="H876" s="476">
        <f>SUM(F876:G876)</f>
        <v>4496.3499999999995</v>
      </c>
      <c r="I876" s="182"/>
      <c r="J876" s="182"/>
      <c r="K876" s="182">
        <v>0</v>
      </c>
      <c r="L876" s="182"/>
      <c r="M876" s="182"/>
      <c r="N876" s="182">
        <v>0</v>
      </c>
    </row>
    <row r="877" spans="1:14" x14ac:dyDescent="0.25">
      <c r="A877" s="225"/>
      <c r="B877" s="27"/>
      <c r="C877" s="7"/>
      <c r="D877" s="27"/>
      <c r="E877" s="188" t="s">
        <v>102</v>
      </c>
      <c r="F877" s="476">
        <v>1183.3</v>
      </c>
      <c r="G877" s="482">
        <v>-946.65</v>
      </c>
      <c r="H877" s="476">
        <f>SUM(F877:G877)</f>
        <v>236.64999999999998</v>
      </c>
      <c r="I877" s="190"/>
      <c r="J877" s="190"/>
      <c r="K877" s="190">
        <v>0</v>
      </c>
      <c r="L877" s="190"/>
      <c r="M877" s="190"/>
      <c r="N877" s="190">
        <v>0</v>
      </c>
    </row>
    <row r="878" spans="1:14" x14ac:dyDescent="0.25">
      <c r="A878" s="225"/>
      <c r="B878" s="27"/>
      <c r="C878" s="7"/>
      <c r="D878" s="27"/>
      <c r="E878" s="159" t="s">
        <v>146</v>
      </c>
      <c r="F878" s="476">
        <v>269.5</v>
      </c>
      <c r="G878" s="476"/>
      <c r="H878" s="476">
        <f>SUM(F878:G878)</f>
        <v>269.5</v>
      </c>
      <c r="I878" s="190"/>
      <c r="J878" s="190"/>
      <c r="K878" s="190">
        <v>0</v>
      </c>
      <c r="L878" s="190"/>
      <c r="M878" s="190"/>
      <c r="N878" s="190">
        <v>0</v>
      </c>
    </row>
    <row r="879" spans="1:14" ht="20.25" customHeight="1" x14ac:dyDescent="0.25">
      <c r="A879" s="225"/>
      <c r="B879" s="27"/>
      <c r="C879" s="7"/>
      <c r="D879" s="27"/>
      <c r="E879" s="159" t="s">
        <v>1058</v>
      </c>
      <c r="F879" s="476">
        <v>100</v>
      </c>
      <c r="G879" s="476"/>
      <c r="H879" s="476">
        <v>100</v>
      </c>
      <c r="I879" s="190"/>
      <c r="J879" s="190"/>
      <c r="K879" s="190">
        <v>0</v>
      </c>
      <c r="L879" s="190"/>
      <c r="M879" s="190"/>
      <c r="N879" s="190">
        <v>0</v>
      </c>
    </row>
    <row r="880" spans="1:14" ht="28.5" customHeight="1" x14ac:dyDescent="0.25">
      <c r="A880" s="254"/>
      <c r="B880" s="255"/>
      <c r="C880" s="34" t="s">
        <v>1045</v>
      </c>
      <c r="D880" s="34"/>
      <c r="E880" s="37" t="s">
        <v>1046</v>
      </c>
      <c r="F880" s="509">
        <f>F882</f>
        <v>210.5</v>
      </c>
      <c r="G880" s="509">
        <f>G882</f>
        <v>2.5999999999999999E-2</v>
      </c>
      <c r="H880" s="509">
        <f>H882</f>
        <v>210.52600000000001</v>
      </c>
      <c r="I880" s="421"/>
      <c r="J880" s="421"/>
      <c r="K880" s="421">
        <v>0</v>
      </c>
      <c r="L880" s="421"/>
      <c r="M880" s="421"/>
      <c r="N880" s="421">
        <v>0</v>
      </c>
    </row>
    <row r="881" spans="1:14" ht="20.25" customHeight="1" x14ac:dyDescent="0.25">
      <c r="A881" s="225"/>
      <c r="B881" s="27"/>
      <c r="C881" s="27" t="s">
        <v>1121</v>
      </c>
      <c r="D881" s="27"/>
      <c r="E881" s="30" t="s">
        <v>1048</v>
      </c>
      <c r="F881" s="476">
        <v>210.5</v>
      </c>
      <c r="G881" s="482">
        <f>G882</f>
        <v>2.5999999999999999E-2</v>
      </c>
      <c r="H881" s="476">
        <f>SUM(F881:G881)</f>
        <v>210.52600000000001</v>
      </c>
      <c r="I881" s="190"/>
      <c r="J881" s="190"/>
      <c r="K881" s="190">
        <v>0</v>
      </c>
      <c r="L881" s="190"/>
      <c r="M881" s="190"/>
      <c r="N881" s="190">
        <v>0</v>
      </c>
    </row>
    <row r="882" spans="1:14" ht="25.5" x14ac:dyDescent="0.25">
      <c r="A882" s="225"/>
      <c r="B882" s="27"/>
      <c r="C882" s="7"/>
      <c r="D882" s="27" t="s">
        <v>64</v>
      </c>
      <c r="E882" s="28" t="s">
        <v>65</v>
      </c>
      <c r="F882" s="476">
        <v>210.5</v>
      </c>
      <c r="G882" s="482">
        <f>G883</f>
        <v>2.5999999999999999E-2</v>
      </c>
      <c r="H882" s="476">
        <f>SUM(F882:G882)</f>
        <v>210.52600000000001</v>
      </c>
      <c r="I882" s="190"/>
      <c r="J882" s="190"/>
      <c r="K882" s="190">
        <v>0</v>
      </c>
      <c r="L882" s="190"/>
      <c r="M882" s="190"/>
      <c r="N882" s="190">
        <v>0</v>
      </c>
    </row>
    <row r="883" spans="1:14" ht="25.5" x14ac:dyDescent="0.25">
      <c r="A883" s="225"/>
      <c r="B883" s="27"/>
      <c r="C883" s="7"/>
      <c r="D883" s="27"/>
      <c r="E883" s="28" t="s">
        <v>1049</v>
      </c>
      <c r="F883" s="476">
        <v>210.5</v>
      </c>
      <c r="G883" s="482">
        <v>2.5999999999999999E-2</v>
      </c>
      <c r="H883" s="476">
        <f>SUM(F883:G883)</f>
        <v>210.52600000000001</v>
      </c>
      <c r="I883" s="190"/>
      <c r="J883" s="190"/>
      <c r="K883" s="190">
        <v>0</v>
      </c>
      <c r="L883" s="190"/>
      <c r="M883" s="190"/>
      <c r="N883" s="190">
        <v>0</v>
      </c>
    </row>
    <row r="884" spans="1:14" ht="20.25" customHeight="1" x14ac:dyDescent="0.25">
      <c r="A884" s="225"/>
      <c r="B884" s="7" t="s">
        <v>943</v>
      </c>
      <c r="C884" s="230"/>
      <c r="D884" s="229"/>
      <c r="E884" s="231" t="s">
        <v>944</v>
      </c>
      <c r="F884" s="502">
        <f>F885</f>
        <v>4326.1000000000004</v>
      </c>
      <c r="G884" s="502">
        <f>G885</f>
        <v>25.4</v>
      </c>
      <c r="H884" s="502">
        <f>H885</f>
        <v>4351.5</v>
      </c>
      <c r="I884" s="297">
        <f>I885</f>
        <v>3834.5</v>
      </c>
      <c r="J884" s="297"/>
      <c r="K884" s="297">
        <f>K885</f>
        <v>3834.5</v>
      </c>
      <c r="L884" s="297">
        <f>L885</f>
        <v>3834.5</v>
      </c>
      <c r="M884" s="297"/>
      <c r="N884" s="297">
        <f>N885</f>
        <v>3834.5</v>
      </c>
    </row>
    <row r="885" spans="1:14" ht="25.5" x14ac:dyDescent="0.25">
      <c r="A885" s="225"/>
      <c r="B885" s="7"/>
      <c r="C885" s="230" t="s">
        <v>9</v>
      </c>
      <c r="D885" s="229"/>
      <c r="E885" s="233" t="s">
        <v>10</v>
      </c>
      <c r="F885" s="502">
        <f>F886+F895</f>
        <v>4326.1000000000004</v>
      </c>
      <c r="G885" s="502">
        <f>G886+G895</f>
        <v>25.4</v>
      </c>
      <c r="H885" s="502">
        <f>H886+H895</f>
        <v>4351.5</v>
      </c>
      <c r="I885" s="297">
        <f>I886+I895</f>
        <v>3834.5</v>
      </c>
      <c r="J885" s="297"/>
      <c r="K885" s="297">
        <f>K886+K895</f>
        <v>3834.5</v>
      </c>
      <c r="L885" s="297">
        <f>L886+L895</f>
        <v>3834.5</v>
      </c>
      <c r="M885" s="297"/>
      <c r="N885" s="297">
        <f>N886+N895</f>
        <v>3834.5</v>
      </c>
    </row>
    <row r="886" spans="1:14" ht="25.5" x14ac:dyDescent="0.25">
      <c r="A886" s="260"/>
      <c r="B886" s="235"/>
      <c r="C886" s="236" t="s">
        <v>11</v>
      </c>
      <c r="D886" s="235"/>
      <c r="E886" s="237" t="s">
        <v>12</v>
      </c>
      <c r="F886" s="503">
        <f t="shared" ref="F886:N887" si="163">F887</f>
        <v>3410.1</v>
      </c>
      <c r="G886" s="503">
        <f t="shared" si="163"/>
        <v>25.4</v>
      </c>
      <c r="H886" s="503">
        <f t="shared" si="163"/>
        <v>3435.5</v>
      </c>
      <c r="I886" s="299">
        <f t="shared" si="163"/>
        <v>3434.5</v>
      </c>
      <c r="J886" s="299"/>
      <c r="K886" s="299">
        <f t="shared" si="163"/>
        <v>3434.5</v>
      </c>
      <c r="L886" s="299">
        <f t="shared" si="163"/>
        <v>3434.5</v>
      </c>
      <c r="M886" s="299"/>
      <c r="N886" s="299">
        <f t="shared" si="163"/>
        <v>3434.5</v>
      </c>
    </row>
    <row r="887" spans="1:14" ht="38.25" x14ac:dyDescent="0.25">
      <c r="A887" s="239"/>
      <c r="B887" s="240"/>
      <c r="C887" s="241" t="s">
        <v>26</v>
      </c>
      <c r="D887" s="240"/>
      <c r="E887" s="242" t="s">
        <v>945</v>
      </c>
      <c r="F887" s="514">
        <f t="shared" si="163"/>
        <v>3410.1</v>
      </c>
      <c r="G887" s="514">
        <f t="shared" si="163"/>
        <v>25.4</v>
      </c>
      <c r="H887" s="514">
        <f t="shared" si="163"/>
        <v>3435.5</v>
      </c>
      <c r="I887" s="243">
        <f t="shared" si="163"/>
        <v>3434.5</v>
      </c>
      <c r="J887" s="243"/>
      <c r="K887" s="243">
        <f t="shared" si="163"/>
        <v>3434.5</v>
      </c>
      <c r="L887" s="243">
        <f t="shared" si="163"/>
        <v>3434.5</v>
      </c>
      <c r="M887" s="243"/>
      <c r="N887" s="243">
        <f t="shared" si="163"/>
        <v>3434.5</v>
      </c>
    </row>
    <row r="888" spans="1:14" ht="38.25" x14ac:dyDescent="0.25">
      <c r="A888" s="244"/>
      <c r="B888" s="34"/>
      <c r="C888" s="245" t="s">
        <v>28</v>
      </c>
      <c r="D888" s="34"/>
      <c r="E888" s="246" t="s">
        <v>466</v>
      </c>
      <c r="F888" s="495">
        <f>F889+F893</f>
        <v>3410.1</v>
      </c>
      <c r="G888" s="495">
        <f>G889+G893</f>
        <v>25.4</v>
      </c>
      <c r="H888" s="495">
        <f>H889+H893</f>
        <v>3435.5</v>
      </c>
      <c r="I888" s="250">
        <f>I889+I893</f>
        <v>3434.5</v>
      </c>
      <c r="J888" s="250"/>
      <c r="K888" s="250">
        <f>K889+K893</f>
        <v>3434.5</v>
      </c>
      <c r="L888" s="250">
        <f>L889+L893</f>
        <v>3434.5</v>
      </c>
      <c r="M888" s="250"/>
      <c r="N888" s="250">
        <f>N889+N893</f>
        <v>3434.5</v>
      </c>
    </row>
    <row r="889" spans="1:14" ht="25.5" x14ac:dyDescent="0.25">
      <c r="A889" s="225"/>
      <c r="B889" s="27"/>
      <c r="C889" s="248" t="s">
        <v>31</v>
      </c>
      <c r="D889" s="27"/>
      <c r="E889" s="28" t="s">
        <v>988</v>
      </c>
      <c r="F889" s="496">
        <f>F890+F891+F892</f>
        <v>3399.1</v>
      </c>
      <c r="G889" s="598">
        <f>SUM(G891:G892)</f>
        <v>25.4</v>
      </c>
      <c r="H889" s="496">
        <f>H890+H891+H892</f>
        <v>3424.5</v>
      </c>
      <c r="I889" s="252">
        <f>I890+I891</f>
        <v>3434.5</v>
      </c>
      <c r="J889" s="252"/>
      <c r="K889" s="252">
        <f>K890+K891</f>
        <v>3434.5</v>
      </c>
      <c r="L889" s="252">
        <f>L890+L891</f>
        <v>3434.5</v>
      </c>
      <c r="M889" s="252"/>
      <c r="N889" s="252">
        <f>N890+N891</f>
        <v>3434.5</v>
      </c>
    </row>
    <row r="890" spans="1:14" ht="39" x14ac:dyDescent="0.25">
      <c r="A890" s="225"/>
      <c r="B890" s="27"/>
      <c r="C890" s="248"/>
      <c r="D890" s="27" t="s">
        <v>30</v>
      </c>
      <c r="E890" s="26" t="s">
        <v>450</v>
      </c>
      <c r="F890" s="496">
        <v>3293.5</v>
      </c>
      <c r="G890" s="598"/>
      <c r="H890" s="496">
        <f>SUM(F890:G890)</f>
        <v>3293.5</v>
      </c>
      <c r="I890" s="252">
        <v>3344.9</v>
      </c>
      <c r="J890" s="252"/>
      <c r="K890" s="252">
        <v>3344.9</v>
      </c>
      <c r="L890" s="252">
        <v>3344.9</v>
      </c>
      <c r="M890" s="252"/>
      <c r="N890" s="252">
        <v>3344.9</v>
      </c>
    </row>
    <row r="891" spans="1:14" ht="25.5" x14ac:dyDescent="0.25">
      <c r="A891" s="225"/>
      <c r="B891" s="27"/>
      <c r="C891" s="248"/>
      <c r="D891" s="27" t="s">
        <v>17</v>
      </c>
      <c r="E891" s="30" t="s">
        <v>18</v>
      </c>
      <c r="F891" s="496">
        <v>89.6</v>
      </c>
      <c r="G891" s="598">
        <f>25.4</f>
        <v>25.4</v>
      </c>
      <c r="H891" s="496">
        <f>SUM(F891:G891)</f>
        <v>115</v>
      </c>
      <c r="I891" s="252">
        <v>89.6</v>
      </c>
      <c r="J891" s="252"/>
      <c r="K891" s="252">
        <v>89.6</v>
      </c>
      <c r="L891" s="252">
        <v>89.6</v>
      </c>
      <c r="M891" s="252"/>
      <c r="N891" s="252">
        <v>89.6</v>
      </c>
    </row>
    <row r="892" spans="1:14" x14ac:dyDescent="0.25">
      <c r="A892" s="225"/>
      <c r="B892" s="27"/>
      <c r="C892" s="248"/>
      <c r="D892" s="27" t="s">
        <v>32</v>
      </c>
      <c r="E892" s="30" t="s">
        <v>33</v>
      </c>
      <c r="F892" s="496">
        <v>16</v>
      </c>
      <c r="G892" s="496"/>
      <c r="H892" s="496">
        <f>SUM(F892:G892)</f>
        <v>16</v>
      </c>
      <c r="I892" s="252"/>
      <c r="J892" s="252"/>
      <c r="K892" s="252"/>
      <c r="L892" s="252"/>
      <c r="M892" s="252"/>
      <c r="N892" s="252"/>
    </row>
    <row r="893" spans="1:14" ht="51" x14ac:dyDescent="0.25">
      <c r="A893" s="225"/>
      <c r="B893" s="27"/>
      <c r="C893" s="248" t="s">
        <v>34</v>
      </c>
      <c r="D893" s="27"/>
      <c r="E893" s="28" t="s">
        <v>987</v>
      </c>
      <c r="F893" s="496">
        <f>F894</f>
        <v>11</v>
      </c>
      <c r="G893" s="496"/>
      <c r="H893" s="496">
        <f>H894</f>
        <v>11</v>
      </c>
      <c r="I893" s="252">
        <f>I894</f>
        <v>0</v>
      </c>
      <c r="J893" s="252"/>
      <c r="K893" s="252">
        <f>K894</f>
        <v>0</v>
      </c>
      <c r="L893" s="252">
        <f>L894</f>
        <v>0</v>
      </c>
      <c r="M893" s="252"/>
      <c r="N893" s="252">
        <f>N894</f>
        <v>0</v>
      </c>
    </row>
    <row r="894" spans="1:14" ht="25.5" x14ac:dyDescent="0.25">
      <c r="A894" s="225"/>
      <c r="B894" s="27"/>
      <c r="C894" s="248"/>
      <c r="D894" s="27" t="s">
        <v>17</v>
      </c>
      <c r="E894" s="30" t="s">
        <v>18</v>
      </c>
      <c r="F894" s="496">
        <v>11</v>
      </c>
      <c r="G894" s="496"/>
      <c r="H894" s="496">
        <v>11</v>
      </c>
      <c r="I894" s="252">
        <v>0</v>
      </c>
      <c r="J894" s="252"/>
      <c r="K894" s="252">
        <v>0</v>
      </c>
      <c r="L894" s="252">
        <v>0</v>
      </c>
      <c r="M894" s="252"/>
      <c r="N894" s="252">
        <v>0</v>
      </c>
    </row>
    <row r="895" spans="1:14" ht="25.5" x14ac:dyDescent="0.25">
      <c r="A895" s="260"/>
      <c r="B895" s="235"/>
      <c r="C895" s="236" t="s">
        <v>194</v>
      </c>
      <c r="D895" s="235"/>
      <c r="E895" s="237" t="s">
        <v>195</v>
      </c>
      <c r="F895" s="503">
        <f>F896+F901</f>
        <v>916</v>
      </c>
      <c r="G895" s="503">
        <f>G896+G901</f>
        <v>0</v>
      </c>
      <c r="H895" s="503">
        <f>H896+H901</f>
        <v>916</v>
      </c>
      <c r="I895" s="299">
        <f>I896+I901</f>
        <v>400</v>
      </c>
      <c r="J895" s="299"/>
      <c r="K895" s="299">
        <f>K896+K901</f>
        <v>400</v>
      </c>
      <c r="L895" s="299">
        <f>L896+L901</f>
        <v>400</v>
      </c>
      <c r="M895" s="299"/>
      <c r="N895" s="299">
        <f>N896+N901</f>
        <v>400</v>
      </c>
    </row>
    <row r="896" spans="1:14" ht="25.5" x14ac:dyDescent="0.25">
      <c r="A896" s="254"/>
      <c r="B896" s="34"/>
      <c r="C896" s="245" t="s">
        <v>211</v>
      </c>
      <c r="D896" s="34"/>
      <c r="E896" s="253" t="s">
        <v>212</v>
      </c>
      <c r="F896" s="495">
        <f>F897+F899</f>
        <v>846</v>
      </c>
      <c r="G896" s="495">
        <f>G897+G899</f>
        <v>0</v>
      </c>
      <c r="H896" s="495">
        <f>H897+H899</f>
        <v>846</v>
      </c>
      <c r="I896" s="250">
        <f>I897+I899</f>
        <v>320</v>
      </c>
      <c r="J896" s="250"/>
      <c r="K896" s="250">
        <f>K897+K899</f>
        <v>320</v>
      </c>
      <c r="L896" s="250">
        <f>L897+L899</f>
        <v>320</v>
      </c>
      <c r="M896" s="250"/>
      <c r="N896" s="250">
        <f>N897+N899</f>
        <v>320</v>
      </c>
    </row>
    <row r="897" spans="1:14" ht="63.75" x14ac:dyDescent="0.25">
      <c r="A897" s="225"/>
      <c r="B897" s="27"/>
      <c r="C897" s="248" t="s">
        <v>213</v>
      </c>
      <c r="D897" s="27"/>
      <c r="E897" s="28" t="s">
        <v>946</v>
      </c>
      <c r="F897" s="472">
        <f>F898</f>
        <v>601</v>
      </c>
      <c r="G897" s="472">
        <f>G898</f>
        <v>0</v>
      </c>
      <c r="H897" s="472">
        <f>H898</f>
        <v>601</v>
      </c>
      <c r="I897" s="29">
        <f>I898</f>
        <v>120</v>
      </c>
      <c r="J897" s="29"/>
      <c r="K897" s="29">
        <f>K898</f>
        <v>120</v>
      </c>
      <c r="L897" s="29">
        <f>L898</f>
        <v>120</v>
      </c>
      <c r="M897" s="29"/>
      <c r="N897" s="29">
        <f>N898</f>
        <v>120</v>
      </c>
    </row>
    <row r="898" spans="1:14" ht="25.5" x14ac:dyDescent="0.25">
      <c r="A898" s="225"/>
      <c r="B898" s="27"/>
      <c r="C898" s="248"/>
      <c r="D898" s="27" t="s">
        <v>64</v>
      </c>
      <c r="E898" s="28" t="s">
        <v>65</v>
      </c>
      <c r="F898" s="472">
        <v>601</v>
      </c>
      <c r="G898" s="472"/>
      <c r="H898" s="472">
        <f>SUM(F898:G898)</f>
        <v>601</v>
      </c>
      <c r="I898" s="29">
        <v>120</v>
      </c>
      <c r="J898" s="29"/>
      <c r="K898" s="29">
        <v>120</v>
      </c>
      <c r="L898" s="29">
        <v>120</v>
      </c>
      <c r="M898" s="29"/>
      <c r="N898" s="29">
        <v>120</v>
      </c>
    </row>
    <row r="899" spans="1:14" ht="51" x14ac:dyDescent="0.25">
      <c r="A899" s="225"/>
      <c r="B899" s="27"/>
      <c r="C899" s="248" t="s">
        <v>215</v>
      </c>
      <c r="D899" s="27"/>
      <c r="E899" s="28" t="s">
        <v>216</v>
      </c>
      <c r="F899" s="472">
        <f>F900</f>
        <v>245</v>
      </c>
      <c r="G899" s="472"/>
      <c r="H899" s="472">
        <f>H900</f>
        <v>245</v>
      </c>
      <c r="I899" s="29">
        <f>I900</f>
        <v>200</v>
      </c>
      <c r="J899" s="29"/>
      <c r="K899" s="29">
        <f>K900</f>
        <v>200</v>
      </c>
      <c r="L899" s="29">
        <f>L900</f>
        <v>200</v>
      </c>
      <c r="M899" s="29"/>
      <c r="N899" s="29">
        <f>N900</f>
        <v>200</v>
      </c>
    </row>
    <row r="900" spans="1:14" ht="25.5" x14ac:dyDescent="0.25">
      <c r="A900" s="229"/>
      <c r="B900" s="27"/>
      <c r="C900" s="248"/>
      <c r="D900" s="27" t="s">
        <v>64</v>
      </c>
      <c r="E900" s="28" t="s">
        <v>65</v>
      </c>
      <c r="F900" s="472">
        <v>245</v>
      </c>
      <c r="G900" s="472"/>
      <c r="H900" s="472">
        <v>245</v>
      </c>
      <c r="I900" s="29">
        <v>200</v>
      </c>
      <c r="J900" s="29"/>
      <c r="K900" s="29">
        <v>200</v>
      </c>
      <c r="L900" s="29">
        <v>200</v>
      </c>
      <c r="M900" s="29"/>
      <c r="N900" s="29">
        <v>200</v>
      </c>
    </row>
    <row r="901" spans="1:14" x14ac:dyDescent="0.25">
      <c r="A901" s="254"/>
      <c r="B901" s="255"/>
      <c r="C901" s="245" t="s">
        <v>217</v>
      </c>
      <c r="D901" s="255"/>
      <c r="E901" s="253" t="s">
        <v>218</v>
      </c>
      <c r="F901" s="495">
        <f>F902+F904</f>
        <v>70</v>
      </c>
      <c r="G901" s="495"/>
      <c r="H901" s="495">
        <f>H902+H904</f>
        <v>70</v>
      </c>
      <c r="I901" s="250">
        <f>I902+I904</f>
        <v>80</v>
      </c>
      <c r="J901" s="250"/>
      <c r="K901" s="250">
        <f>K902+K904</f>
        <v>80</v>
      </c>
      <c r="L901" s="250">
        <f>L902+L904</f>
        <v>80</v>
      </c>
      <c r="M901" s="250"/>
      <c r="N901" s="250">
        <f>N902+N904</f>
        <v>80</v>
      </c>
    </row>
    <row r="902" spans="1:14" ht="25.5" x14ac:dyDescent="0.25">
      <c r="A902" s="225"/>
      <c r="B902" s="27"/>
      <c r="C902" s="248" t="s">
        <v>219</v>
      </c>
      <c r="D902" s="27"/>
      <c r="E902" s="30" t="s">
        <v>947</v>
      </c>
      <c r="F902" s="472">
        <f>F903</f>
        <v>30</v>
      </c>
      <c r="G902" s="472"/>
      <c r="H902" s="472">
        <f>H903</f>
        <v>30</v>
      </c>
      <c r="I902" s="29">
        <f>I903</f>
        <v>50</v>
      </c>
      <c r="J902" s="29"/>
      <c r="K902" s="29">
        <f>K903</f>
        <v>50</v>
      </c>
      <c r="L902" s="29">
        <f>L903</f>
        <v>50</v>
      </c>
      <c r="M902" s="29"/>
      <c r="N902" s="29">
        <f>N903</f>
        <v>50</v>
      </c>
    </row>
    <row r="903" spans="1:14" ht="25.5" x14ac:dyDescent="0.25">
      <c r="A903" s="225"/>
      <c r="B903" s="27"/>
      <c r="C903" s="248"/>
      <c r="D903" s="27" t="s">
        <v>64</v>
      </c>
      <c r="E903" s="28" t="s">
        <v>65</v>
      </c>
      <c r="F903" s="472">
        <v>30</v>
      </c>
      <c r="G903" s="472"/>
      <c r="H903" s="472">
        <v>30</v>
      </c>
      <c r="I903" s="29">
        <v>50</v>
      </c>
      <c r="J903" s="29"/>
      <c r="K903" s="29">
        <v>50</v>
      </c>
      <c r="L903" s="29">
        <v>50</v>
      </c>
      <c r="M903" s="29"/>
      <c r="N903" s="29">
        <v>50</v>
      </c>
    </row>
    <row r="904" spans="1:14" ht="25.5" x14ac:dyDescent="0.25">
      <c r="A904" s="225"/>
      <c r="B904" s="27"/>
      <c r="C904" s="248" t="s">
        <v>221</v>
      </c>
      <c r="D904" s="27"/>
      <c r="E904" s="30" t="s">
        <v>222</v>
      </c>
      <c r="F904" s="472">
        <f>F905</f>
        <v>40</v>
      </c>
      <c r="G904" s="472"/>
      <c r="H904" s="472">
        <f>H905</f>
        <v>40</v>
      </c>
      <c r="I904" s="29">
        <f>I905</f>
        <v>30</v>
      </c>
      <c r="J904" s="29"/>
      <c r="K904" s="29">
        <f>K905</f>
        <v>30</v>
      </c>
      <c r="L904" s="29">
        <f>L905</f>
        <v>30</v>
      </c>
      <c r="M904" s="29"/>
      <c r="N904" s="29">
        <f>N905</f>
        <v>30</v>
      </c>
    </row>
    <row r="905" spans="1:14" ht="25.5" x14ac:dyDescent="0.25">
      <c r="A905" s="229"/>
      <c r="B905" s="27"/>
      <c r="C905" s="248"/>
      <c r="D905" s="27" t="s">
        <v>64</v>
      </c>
      <c r="E905" s="28" t="s">
        <v>65</v>
      </c>
      <c r="F905" s="472">
        <v>40</v>
      </c>
      <c r="G905" s="472"/>
      <c r="H905" s="472">
        <v>40</v>
      </c>
      <c r="I905" s="29">
        <v>30</v>
      </c>
      <c r="J905" s="29"/>
      <c r="K905" s="29">
        <v>30</v>
      </c>
      <c r="L905" s="29">
        <v>30</v>
      </c>
      <c r="M905" s="29"/>
      <c r="N905" s="29">
        <v>30</v>
      </c>
    </row>
    <row r="906" spans="1:14" x14ac:dyDescent="0.25">
      <c r="A906" s="225"/>
      <c r="B906" s="7">
        <v>1000</v>
      </c>
      <c r="C906" s="230"/>
      <c r="D906" s="229"/>
      <c r="E906" s="231" t="s">
        <v>892</v>
      </c>
      <c r="F906" s="491">
        <f t="shared" ref="F906:N910" si="164">F907</f>
        <v>383.9</v>
      </c>
      <c r="G906" s="491">
        <f t="shared" si="164"/>
        <v>-19.600000000000001</v>
      </c>
      <c r="H906" s="491">
        <f t="shared" si="164"/>
        <v>364.3</v>
      </c>
      <c r="I906" s="232">
        <f t="shared" si="164"/>
        <v>383.9</v>
      </c>
      <c r="J906" s="232"/>
      <c r="K906" s="232">
        <f t="shared" si="164"/>
        <v>383.9</v>
      </c>
      <c r="L906" s="232">
        <f t="shared" si="164"/>
        <v>344.7</v>
      </c>
      <c r="M906" s="232"/>
      <c r="N906" s="232">
        <f t="shared" si="164"/>
        <v>344.7</v>
      </c>
    </row>
    <row r="907" spans="1:14" x14ac:dyDescent="0.25">
      <c r="A907" s="229"/>
      <c r="B907" s="7">
        <v>1003</v>
      </c>
      <c r="C907" s="230"/>
      <c r="D907" s="229"/>
      <c r="E907" s="231" t="s">
        <v>896</v>
      </c>
      <c r="F907" s="491">
        <f t="shared" si="164"/>
        <v>383.9</v>
      </c>
      <c r="G907" s="491">
        <f t="shared" si="164"/>
        <v>-19.600000000000001</v>
      </c>
      <c r="H907" s="491">
        <f t="shared" si="164"/>
        <v>364.3</v>
      </c>
      <c r="I907" s="232">
        <f t="shared" si="164"/>
        <v>383.9</v>
      </c>
      <c r="J907" s="232"/>
      <c r="K907" s="232">
        <f t="shared" si="164"/>
        <v>383.9</v>
      </c>
      <c r="L907" s="232">
        <f t="shared" si="164"/>
        <v>344.7</v>
      </c>
      <c r="M907" s="232"/>
      <c r="N907" s="232">
        <f t="shared" si="164"/>
        <v>344.7</v>
      </c>
    </row>
    <row r="908" spans="1:14" ht="25.5" x14ac:dyDescent="0.25">
      <c r="A908" s="344"/>
      <c r="B908" s="7"/>
      <c r="C908" s="230" t="s">
        <v>9</v>
      </c>
      <c r="D908" s="229"/>
      <c r="E908" s="233" t="s">
        <v>10</v>
      </c>
      <c r="F908" s="491">
        <f t="shared" si="164"/>
        <v>383.9</v>
      </c>
      <c r="G908" s="491">
        <f t="shared" si="164"/>
        <v>-19.600000000000001</v>
      </c>
      <c r="H908" s="491">
        <f t="shared" si="164"/>
        <v>364.3</v>
      </c>
      <c r="I908" s="232">
        <f t="shared" si="164"/>
        <v>383.9</v>
      </c>
      <c r="J908" s="232"/>
      <c r="K908" s="232">
        <f t="shared" si="164"/>
        <v>383.9</v>
      </c>
      <c r="L908" s="232">
        <f t="shared" si="164"/>
        <v>344.7</v>
      </c>
      <c r="M908" s="232"/>
      <c r="N908" s="232">
        <f t="shared" si="164"/>
        <v>344.7</v>
      </c>
    </row>
    <row r="909" spans="1:14" ht="25.5" x14ac:dyDescent="0.25">
      <c r="A909" s="234"/>
      <c r="B909" s="235"/>
      <c r="C909" s="236" t="s">
        <v>56</v>
      </c>
      <c r="D909" s="235"/>
      <c r="E909" s="237" t="s">
        <v>57</v>
      </c>
      <c r="F909" s="492">
        <f t="shared" si="164"/>
        <v>383.9</v>
      </c>
      <c r="G909" s="492">
        <f t="shared" si="164"/>
        <v>-19.600000000000001</v>
      </c>
      <c r="H909" s="492">
        <f t="shared" si="164"/>
        <v>364.3</v>
      </c>
      <c r="I909" s="238">
        <f t="shared" si="164"/>
        <v>383.9</v>
      </c>
      <c r="J909" s="238"/>
      <c r="K909" s="238">
        <f t="shared" si="164"/>
        <v>383.9</v>
      </c>
      <c r="L909" s="238">
        <f t="shared" si="164"/>
        <v>344.7</v>
      </c>
      <c r="M909" s="238"/>
      <c r="N909" s="238">
        <f t="shared" si="164"/>
        <v>344.7</v>
      </c>
    </row>
    <row r="910" spans="1:14" x14ac:dyDescent="0.25">
      <c r="A910" s="332"/>
      <c r="B910" s="329"/>
      <c r="C910" s="309" t="s">
        <v>125</v>
      </c>
      <c r="D910" s="308"/>
      <c r="E910" s="310" t="s">
        <v>126</v>
      </c>
      <c r="F910" s="505">
        <f t="shared" si="164"/>
        <v>383.9</v>
      </c>
      <c r="G910" s="505">
        <f t="shared" si="164"/>
        <v>-19.600000000000001</v>
      </c>
      <c r="H910" s="505">
        <f t="shared" si="164"/>
        <v>364.3</v>
      </c>
      <c r="I910" s="311">
        <f t="shared" si="164"/>
        <v>383.9</v>
      </c>
      <c r="J910" s="311"/>
      <c r="K910" s="311">
        <f t="shared" si="164"/>
        <v>383.9</v>
      </c>
      <c r="L910" s="311">
        <f t="shared" si="164"/>
        <v>344.7</v>
      </c>
      <c r="M910" s="311"/>
      <c r="N910" s="311">
        <f t="shared" si="164"/>
        <v>344.7</v>
      </c>
    </row>
    <row r="911" spans="1:14" ht="25.5" x14ac:dyDescent="0.25">
      <c r="A911" s="254"/>
      <c r="B911" s="255"/>
      <c r="C911" s="245" t="s">
        <v>133</v>
      </c>
      <c r="D911" s="34"/>
      <c r="E911" s="296" t="s">
        <v>134</v>
      </c>
      <c r="F911" s="494">
        <f>F912+F915</f>
        <v>383.9</v>
      </c>
      <c r="G911" s="494">
        <f>G912+G915</f>
        <v>-19.600000000000001</v>
      </c>
      <c r="H911" s="494">
        <f>H912+H915</f>
        <v>364.3</v>
      </c>
      <c r="I911" s="247">
        <f>I912+I915</f>
        <v>383.9</v>
      </c>
      <c r="J911" s="247"/>
      <c r="K911" s="247">
        <f>K912+K915</f>
        <v>383.9</v>
      </c>
      <c r="L911" s="247">
        <f>L912</f>
        <v>344.7</v>
      </c>
      <c r="M911" s="247"/>
      <c r="N911" s="247">
        <f>N912</f>
        <v>344.7</v>
      </c>
    </row>
    <row r="912" spans="1:14" ht="51" x14ac:dyDescent="0.25">
      <c r="A912" s="344"/>
      <c r="B912" s="27"/>
      <c r="C912" s="248" t="s">
        <v>136</v>
      </c>
      <c r="D912" s="27"/>
      <c r="E912" s="28" t="s">
        <v>929</v>
      </c>
      <c r="F912" s="472">
        <f>F914+F913</f>
        <v>344.7</v>
      </c>
      <c r="G912" s="473">
        <f>G914+G913</f>
        <v>0</v>
      </c>
      <c r="H912" s="472">
        <f>H914+H913</f>
        <v>344.7</v>
      </c>
      <c r="I912" s="29">
        <f>I914</f>
        <v>344.7</v>
      </c>
      <c r="J912" s="29"/>
      <c r="K912" s="29">
        <f>K914</f>
        <v>344.7</v>
      </c>
      <c r="L912" s="29">
        <f>L914</f>
        <v>344.7</v>
      </c>
      <c r="M912" s="29"/>
      <c r="N912" s="29">
        <f>N914</f>
        <v>344.7</v>
      </c>
    </row>
    <row r="913" spans="1:14" x14ac:dyDescent="0.25">
      <c r="A913" s="344"/>
      <c r="B913" s="27"/>
      <c r="C913" s="248"/>
      <c r="D913" s="27" t="s">
        <v>37</v>
      </c>
      <c r="E913" s="159" t="s">
        <v>38</v>
      </c>
      <c r="F913" s="472">
        <v>21</v>
      </c>
      <c r="G913" s="473">
        <v>-12.1</v>
      </c>
      <c r="H913" s="472">
        <f>SUM(F913:G913)</f>
        <v>8.9</v>
      </c>
      <c r="I913" s="29"/>
      <c r="J913" s="29"/>
      <c r="K913" s="29">
        <v>0</v>
      </c>
      <c r="L913" s="29"/>
      <c r="M913" s="29"/>
      <c r="N913" s="29">
        <v>0</v>
      </c>
    </row>
    <row r="914" spans="1:14" ht="25.5" x14ac:dyDescent="0.25">
      <c r="A914" s="344"/>
      <c r="B914" s="27"/>
      <c r="C914" s="248"/>
      <c r="D914" s="27" t="s">
        <v>64</v>
      </c>
      <c r="E914" s="30" t="s">
        <v>65</v>
      </c>
      <c r="F914" s="472">
        <v>323.7</v>
      </c>
      <c r="G914" s="473">
        <v>12.1</v>
      </c>
      <c r="H914" s="472">
        <f>SUM(F914:G914)</f>
        <v>335.8</v>
      </c>
      <c r="I914" s="29">
        <v>344.7</v>
      </c>
      <c r="J914" s="29"/>
      <c r="K914" s="29">
        <v>344.7</v>
      </c>
      <c r="L914" s="29">
        <v>344.7</v>
      </c>
      <c r="M914" s="29"/>
      <c r="N914" s="29">
        <v>344.7</v>
      </c>
    </row>
    <row r="915" spans="1:14" ht="25.5" x14ac:dyDescent="0.25">
      <c r="A915" s="229"/>
      <c r="B915" s="27"/>
      <c r="C915" s="248" t="s">
        <v>137</v>
      </c>
      <c r="D915" s="27"/>
      <c r="E915" s="28" t="s">
        <v>138</v>
      </c>
      <c r="F915" s="472">
        <f>F916</f>
        <v>39.200000000000003</v>
      </c>
      <c r="G915" s="472">
        <f>G916</f>
        <v>-19.600000000000001</v>
      </c>
      <c r="H915" s="472">
        <f>H916</f>
        <v>19.600000000000001</v>
      </c>
      <c r="I915" s="29">
        <f>I916</f>
        <v>39.200000000000003</v>
      </c>
      <c r="J915" s="29"/>
      <c r="K915" s="29">
        <f>K916</f>
        <v>39.200000000000003</v>
      </c>
      <c r="L915" s="29">
        <f>L916</f>
        <v>0</v>
      </c>
      <c r="M915" s="29"/>
      <c r="N915" s="29">
        <f>N916</f>
        <v>0</v>
      </c>
    </row>
    <row r="916" spans="1:14" ht="25.5" x14ac:dyDescent="0.25">
      <c r="A916" s="225"/>
      <c r="B916" s="27"/>
      <c r="C916" s="248"/>
      <c r="D916" s="27" t="s">
        <v>17</v>
      </c>
      <c r="E916" s="30" t="s">
        <v>18</v>
      </c>
      <c r="F916" s="472">
        <f>F917+F918</f>
        <v>39.200000000000003</v>
      </c>
      <c r="G916" s="472">
        <f>SUM(G917:G918)</f>
        <v>-19.600000000000001</v>
      </c>
      <c r="H916" s="472">
        <f>H917+H918</f>
        <v>19.600000000000001</v>
      </c>
      <c r="I916" s="29">
        <f>I917+I918</f>
        <v>39.200000000000003</v>
      </c>
      <c r="J916" s="29"/>
      <c r="K916" s="29">
        <f>K917+K918</f>
        <v>39.200000000000003</v>
      </c>
      <c r="L916" s="29">
        <f>L917+L918</f>
        <v>0</v>
      </c>
      <c r="M916" s="29"/>
      <c r="N916" s="29">
        <f>N917+N918</f>
        <v>0</v>
      </c>
    </row>
    <row r="917" spans="1:14" x14ac:dyDescent="0.25">
      <c r="A917" s="225"/>
      <c r="B917" s="27"/>
      <c r="C917" s="248"/>
      <c r="D917" s="27"/>
      <c r="E917" s="28" t="s">
        <v>87</v>
      </c>
      <c r="F917" s="472">
        <v>26.1</v>
      </c>
      <c r="G917" s="472">
        <v>-13.05</v>
      </c>
      <c r="H917" s="472">
        <f>SUM(F917:G917)</f>
        <v>13.05</v>
      </c>
      <c r="I917" s="29">
        <v>26.1</v>
      </c>
      <c r="J917" s="29"/>
      <c r="K917" s="29">
        <v>26.1</v>
      </c>
      <c r="L917" s="29">
        <v>0</v>
      </c>
      <c r="M917" s="29"/>
      <c r="N917" s="29">
        <v>0</v>
      </c>
    </row>
    <row r="918" spans="1:14" x14ac:dyDescent="0.25">
      <c r="A918" s="229"/>
      <c r="B918" s="27"/>
      <c r="C918" s="248"/>
      <c r="D918" s="27"/>
      <c r="E918" s="28" t="s">
        <v>88</v>
      </c>
      <c r="F918" s="472">
        <v>13.1</v>
      </c>
      <c r="G918" s="472">
        <v>-6.55</v>
      </c>
      <c r="H918" s="472">
        <f>SUM(F918:G918)</f>
        <v>6.55</v>
      </c>
      <c r="I918" s="29">
        <v>13.1</v>
      </c>
      <c r="J918" s="29"/>
      <c r="K918" s="29">
        <v>13.1</v>
      </c>
      <c r="L918" s="29">
        <v>0</v>
      </c>
      <c r="M918" s="29"/>
      <c r="N918" s="29">
        <v>0</v>
      </c>
    </row>
    <row r="919" spans="1:14" x14ac:dyDescent="0.25">
      <c r="A919" s="344"/>
      <c r="B919" s="7">
        <v>1100</v>
      </c>
      <c r="C919" s="230"/>
      <c r="D919" s="229"/>
      <c r="E919" s="231" t="s">
        <v>930</v>
      </c>
      <c r="F919" s="491">
        <f t="shared" ref="F919:N924" si="165">F920</f>
        <v>67.099999999999994</v>
      </c>
      <c r="G919" s="491"/>
      <c r="H919" s="491">
        <f t="shared" si="165"/>
        <v>67.099999999999994</v>
      </c>
      <c r="I919" s="232">
        <f t="shared" si="165"/>
        <v>0</v>
      </c>
      <c r="J919" s="232"/>
      <c r="K919" s="232">
        <f t="shared" si="165"/>
        <v>0</v>
      </c>
      <c r="L919" s="232">
        <f t="shared" si="165"/>
        <v>0</v>
      </c>
      <c r="M919" s="232"/>
      <c r="N919" s="232">
        <f t="shared" si="165"/>
        <v>0</v>
      </c>
    </row>
    <row r="920" spans="1:14" ht="22.5" customHeight="1" x14ac:dyDescent="0.25">
      <c r="A920" s="344"/>
      <c r="B920" s="7" t="s">
        <v>931</v>
      </c>
      <c r="C920" s="230"/>
      <c r="D920" s="7"/>
      <c r="E920" s="233" t="s">
        <v>932</v>
      </c>
      <c r="F920" s="472">
        <f t="shared" si="165"/>
        <v>67.099999999999994</v>
      </c>
      <c r="G920" s="472"/>
      <c r="H920" s="472">
        <f t="shared" si="165"/>
        <v>67.099999999999994</v>
      </c>
      <c r="I920" s="29">
        <f t="shared" si="165"/>
        <v>0</v>
      </c>
      <c r="J920" s="29"/>
      <c r="K920" s="29">
        <f t="shared" si="165"/>
        <v>0</v>
      </c>
      <c r="L920" s="29">
        <f t="shared" si="165"/>
        <v>0</v>
      </c>
      <c r="M920" s="29"/>
      <c r="N920" s="29">
        <f t="shared" si="165"/>
        <v>0</v>
      </c>
    </row>
    <row r="921" spans="1:14" ht="25.5" x14ac:dyDescent="0.25">
      <c r="A921" s="344"/>
      <c r="B921" s="7"/>
      <c r="C921" s="230" t="s">
        <v>9</v>
      </c>
      <c r="D921" s="7"/>
      <c r="E921" s="233" t="s">
        <v>10</v>
      </c>
      <c r="F921" s="472">
        <f t="shared" si="165"/>
        <v>67.099999999999994</v>
      </c>
      <c r="G921" s="472"/>
      <c r="H921" s="472">
        <f t="shared" si="165"/>
        <v>67.099999999999994</v>
      </c>
      <c r="I921" s="29">
        <f t="shared" si="165"/>
        <v>0</v>
      </c>
      <c r="J921" s="29"/>
      <c r="K921" s="29">
        <f t="shared" si="165"/>
        <v>0</v>
      </c>
      <c r="L921" s="29">
        <f t="shared" si="165"/>
        <v>0</v>
      </c>
      <c r="M921" s="29"/>
      <c r="N921" s="29">
        <f t="shared" si="165"/>
        <v>0</v>
      </c>
    </row>
    <row r="922" spans="1:14" ht="25.5" x14ac:dyDescent="0.25">
      <c r="A922" s="234"/>
      <c r="B922" s="235"/>
      <c r="C922" s="236" t="s">
        <v>238</v>
      </c>
      <c r="D922" s="235"/>
      <c r="E922" s="237" t="s">
        <v>948</v>
      </c>
      <c r="F922" s="492">
        <f t="shared" si="165"/>
        <v>67.099999999999994</v>
      </c>
      <c r="G922" s="492"/>
      <c r="H922" s="492">
        <f t="shared" si="165"/>
        <v>67.099999999999994</v>
      </c>
      <c r="I922" s="238">
        <f t="shared" si="165"/>
        <v>0</v>
      </c>
      <c r="J922" s="238"/>
      <c r="K922" s="238">
        <f t="shared" si="165"/>
        <v>0</v>
      </c>
      <c r="L922" s="238">
        <f t="shared" si="165"/>
        <v>0</v>
      </c>
      <c r="M922" s="238"/>
      <c r="N922" s="238">
        <f t="shared" si="165"/>
        <v>0</v>
      </c>
    </row>
    <row r="923" spans="1:14" ht="38.25" x14ac:dyDescent="0.25">
      <c r="A923" s="244"/>
      <c r="B923" s="34"/>
      <c r="C923" s="245" t="s">
        <v>240</v>
      </c>
      <c r="D923" s="34"/>
      <c r="E923" s="253" t="s">
        <v>933</v>
      </c>
      <c r="F923" s="497">
        <f t="shared" si="165"/>
        <v>67.099999999999994</v>
      </c>
      <c r="G923" s="497"/>
      <c r="H923" s="497">
        <f t="shared" si="165"/>
        <v>67.099999999999994</v>
      </c>
      <c r="I923" s="256">
        <f t="shared" si="165"/>
        <v>0</v>
      </c>
      <c r="J923" s="256"/>
      <c r="K923" s="256">
        <f t="shared" si="165"/>
        <v>0</v>
      </c>
      <c r="L923" s="256">
        <f t="shared" si="165"/>
        <v>0</v>
      </c>
      <c r="M923" s="256"/>
      <c r="N923" s="256">
        <f t="shared" si="165"/>
        <v>0</v>
      </c>
    </row>
    <row r="924" spans="1:14" ht="51" x14ac:dyDescent="0.25">
      <c r="A924" s="225"/>
      <c r="B924" s="27"/>
      <c r="C924" s="248" t="s">
        <v>242</v>
      </c>
      <c r="D924" s="27"/>
      <c r="E924" s="28" t="s">
        <v>467</v>
      </c>
      <c r="F924" s="472">
        <f t="shared" si="165"/>
        <v>67.099999999999994</v>
      </c>
      <c r="G924" s="472"/>
      <c r="H924" s="472">
        <f t="shared" si="165"/>
        <v>67.099999999999994</v>
      </c>
      <c r="I924" s="29">
        <f t="shared" si="165"/>
        <v>0</v>
      </c>
      <c r="J924" s="29"/>
      <c r="K924" s="29">
        <f t="shared" si="165"/>
        <v>0</v>
      </c>
      <c r="L924" s="29">
        <f t="shared" si="165"/>
        <v>0</v>
      </c>
      <c r="M924" s="29"/>
      <c r="N924" s="29">
        <f t="shared" si="165"/>
        <v>0</v>
      </c>
    </row>
    <row r="925" spans="1:14" ht="25.5" x14ac:dyDescent="0.25">
      <c r="A925" s="225"/>
      <c r="B925" s="27"/>
      <c r="C925" s="248"/>
      <c r="D925" s="27" t="s">
        <v>64</v>
      </c>
      <c r="E925" s="30" t="s">
        <v>65</v>
      </c>
      <c r="F925" s="472">
        <v>67.099999999999994</v>
      </c>
      <c r="G925" s="472"/>
      <c r="H925" s="472">
        <v>67.099999999999994</v>
      </c>
      <c r="I925" s="29">
        <v>0</v>
      </c>
      <c r="J925" s="29"/>
      <c r="K925" s="29">
        <v>0</v>
      </c>
      <c r="L925" s="29">
        <v>0</v>
      </c>
      <c r="M925" s="29"/>
      <c r="N925" s="29">
        <v>0</v>
      </c>
    </row>
    <row r="926" spans="1:14" x14ac:dyDescent="0.25">
      <c r="A926" s="344"/>
      <c r="B926" s="7">
        <v>1200</v>
      </c>
      <c r="C926" s="230"/>
      <c r="D926" s="229"/>
      <c r="E926" s="231" t="s">
        <v>949</v>
      </c>
      <c r="F926" s="491">
        <f t="shared" ref="F926:N932" si="166">F927</f>
        <v>1288.8</v>
      </c>
      <c r="G926" s="491">
        <f t="shared" si="166"/>
        <v>-0.1</v>
      </c>
      <c r="H926" s="491">
        <f t="shared" si="166"/>
        <v>1288.7</v>
      </c>
      <c r="I926" s="232">
        <f t="shared" si="166"/>
        <v>1261.8</v>
      </c>
      <c r="J926" s="232"/>
      <c r="K926" s="232">
        <f t="shared" si="166"/>
        <v>1261.8</v>
      </c>
      <c r="L926" s="232">
        <f t="shared" si="166"/>
        <v>1261.8</v>
      </c>
      <c r="M926" s="232"/>
      <c r="N926" s="232">
        <f t="shared" si="166"/>
        <v>1261.8</v>
      </c>
    </row>
    <row r="927" spans="1:14" x14ac:dyDescent="0.25">
      <c r="A927" s="229"/>
      <c r="B927" s="7">
        <v>1202</v>
      </c>
      <c r="C927" s="230"/>
      <c r="D927" s="229"/>
      <c r="E927" s="231" t="s">
        <v>950</v>
      </c>
      <c r="F927" s="491">
        <f t="shared" si="166"/>
        <v>1288.8</v>
      </c>
      <c r="G927" s="491">
        <f t="shared" si="166"/>
        <v>-0.1</v>
      </c>
      <c r="H927" s="491">
        <f t="shared" si="166"/>
        <v>1288.7</v>
      </c>
      <c r="I927" s="232">
        <f t="shared" si="166"/>
        <v>1261.8</v>
      </c>
      <c r="J927" s="232"/>
      <c r="K927" s="232">
        <f t="shared" si="166"/>
        <v>1261.8</v>
      </c>
      <c r="L927" s="232">
        <f t="shared" si="166"/>
        <v>1261.8</v>
      </c>
      <c r="M927" s="232"/>
      <c r="N927" s="232">
        <f t="shared" si="166"/>
        <v>1261.8</v>
      </c>
    </row>
    <row r="928" spans="1:14" ht="25.5" x14ac:dyDescent="0.25">
      <c r="A928" s="229"/>
      <c r="B928" s="7"/>
      <c r="C928" s="230" t="s">
        <v>9</v>
      </c>
      <c r="D928" s="229"/>
      <c r="E928" s="233" t="s">
        <v>10</v>
      </c>
      <c r="F928" s="491">
        <f t="shared" si="166"/>
        <v>1288.8</v>
      </c>
      <c r="G928" s="491">
        <f t="shared" si="166"/>
        <v>-0.1</v>
      </c>
      <c r="H928" s="491">
        <f t="shared" si="166"/>
        <v>1288.7</v>
      </c>
      <c r="I928" s="232">
        <f t="shared" si="166"/>
        <v>1261.8</v>
      </c>
      <c r="J928" s="232"/>
      <c r="K928" s="232">
        <f t="shared" si="166"/>
        <v>1261.8</v>
      </c>
      <c r="L928" s="232">
        <f t="shared" si="166"/>
        <v>1261.8</v>
      </c>
      <c r="M928" s="232"/>
      <c r="N928" s="232">
        <f t="shared" si="166"/>
        <v>1261.8</v>
      </c>
    </row>
    <row r="929" spans="1:14" ht="25.5" x14ac:dyDescent="0.25">
      <c r="A929" s="260"/>
      <c r="B929" s="235"/>
      <c r="C929" s="236" t="s">
        <v>194</v>
      </c>
      <c r="D929" s="235"/>
      <c r="E929" s="237" t="s">
        <v>195</v>
      </c>
      <c r="F929" s="492">
        <f t="shared" si="166"/>
        <v>1288.8</v>
      </c>
      <c r="G929" s="492">
        <f t="shared" si="166"/>
        <v>-0.1</v>
      </c>
      <c r="H929" s="492">
        <f t="shared" si="166"/>
        <v>1288.7</v>
      </c>
      <c r="I929" s="238">
        <f t="shared" si="166"/>
        <v>1261.8</v>
      </c>
      <c r="J929" s="238"/>
      <c r="K929" s="238">
        <f t="shared" si="166"/>
        <v>1261.8</v>
      </c>
      <c r="L929" s="238">
        <f t="shared" si="166"/>
        <v>1261.8</v>
      </c>
      <c r="M929" s="238"/>
      <c r="N929" s="238">
        <f t="shared" si="166"/>
        <v>1261.8</v>
      </c>
    </row>
    <row r="930" spans="1:14" x14ac:dyDescent="0.25">
      <c r="A930" s="332"/>
      <c r="B930" s="308"/>
      <c r="C930" s="309" t="s">
        <v>233</v>
      </c>
      <c r="D930" s="308"/>
      <c r="E930" s="310" t="s">
        <v>234</v>
      </c>
      <c r="F930" s="505">
        <f t="shared" si="166"/>
        <v>1288.8</v>
      </c>
      <c r="G930" s="505">
        <f t="shared" si="166"/>
        <v>-0.1</v>
      </c>
      <c r="H930" s="505">
        <f t="shared" si="166"/>
        <v>1288.7</v>
      </c>
      <c r="I930" s="311">
        <f t="shared" si="166"/>
        <v>1261.8</v>
      </c>
      <c r="J930" s="311"/>
      <c r="K930" s="311">
        <f t="shared" si="166"/>
        <v>1261.8</v>
      </c>
      <c r="L930" s="311">
        <f t="shared" si="166"/>
        <v>1261.8</v>
      </c>
      <c r="M930" s="311"/>
      <c r="N930" s="311">
        <f t="shared" si="166"/>
        <v>1261.8</v>
      </c>
    </row>
    <row r="931" spans="1:14" ht="38.25" x14ac:dyDescent="0.25">
      <c r="A931" s="254"/>
      <c r="B931" s="34"/>
      <c r="C931" s="245" t="s">
        <v>235</v>
      </c>
      <c r="D931" s="34"/>
      <c r="E931" s="246" t="s">
        <v>438</v>
      </c>
      <c r="F931" s="494">
        <f t="shared" si="166"/>
        <v>1288.8</v>
      </c>
      <c r="G931" s="494">
        <f t="shared" si="166"/>
        <v>-0.1</v>
      </c>
      <c r="H931" s="494">
        <f t="shared" si="166"/>
        <v>1288.7</v>
      </c>
      <c r="I931" s="247">
        <f t="shared" si="166"/>
        <v>1261.8</v>
      </c>
      <c r="J931" s="247"/>
      <c r="K931" s="247">
        <f t="shared" si="166"/>
        <v>1261.8</v>
      </c>
      <c r="L931" s="247">
        <f t="shared" si="166"/>
        <v>1261.8</v>
      </c>
      <c r="M931" s="247"/>
      <c r="N931" s="247">
        <f t="shared" si="166"/>
        <v>1261.8</v>
      </c>
    </row>
    <row r="932" spans="1:14" ht="38.25" x14ac:dyDescent="0.25">
      <c r="A932" s="225"/>
      <c r="B932" s="27"/>
      <c r="C932" s="248" t="s">
        <v>236</v>
      </c>
      <c r="D932" s="27"/>
      <c r="E932" s="28" t="s">
        <v>237</v>
      </c>
      <c r="F932" s="472">
        <f t="shared" si="166"/>
        <v>1288.8</v>
      </c>
      <c r="G932" s="473">
        <f t="shared" si="166"/>
        <v>-0.1</v>
      </c>
      <c r="H932" s="472">
        <f t="shared" si="166"/>
        <v>1288.7</v>
      </c>
      <c r="I932" s="29">
        <f t="shared" si="166"/>
        <v>1261.8</v>
      </c>
      <c r="J932" s="29"/>
      <c r="K932" s="29">
        <f t="shared" si="166"/>
        <v>1261.8</v>
      </c>
      <c r="L932" s="29">
        <f t="shared" si="166"/>
        <v>1261.8</v>
      </c>
      <c r="M932" s="29"/>
      <c r="N932" s="29">
        <f t="shared" si="166"/>
        <v>1261.8</v>
      </c>
    </row>
    <row r="933" spans="1:14" ht="25.5" x14ac:dyDescent="0.25">
      <c r="A933" s="225"/>
      <c r="B933" s="27"/>
      <c r="C933" s="248"/>
      <c r="D933" s="27" t="s">
        <v>64</v>
      </c>
      <c r="E933" s="28" t="s">
        <v>65</v>
      </c>
      <c r="F933" s="472">
        <v>1288.8</v>
      </c>
      <c r="G933" s="473">
        <v>-0.1</v>
      </c>
      <c r="H933" s="472">
        <f>SUM(F933:G933)</f>
        <v>1288.7</v>
      </c>
      <c r="I933" s="29">
        <v>1261.8</v>
      </c>
      <c r="J933" s="29"/>
      <c r="K933" s="29">
        <v>1261.8</v>
      </c>
      <c r="L933" s="29">
        <v>1261.8</v>
      </c>
      <c r="M933" s="29"/>
      <c r="N933" s="29">
        <v>1261.8</v>
      </c>
    </row>
    <row r="934" spans="1:14" x14ac:dyDescent="0.25">
      <c r="A934" s="226">
        <v>636</v>
      </c>
      <c r="B934" s="326"/>
      <c r="C934" s="327"/>
      <c r="D934" s="226"/>
      <c r="E934" s="227" t="s">
        <v>951</v>
      </c>
      <c r="F934" s="490">
        <f t="shared" ref="F934:N936" si="167">F935</f>
        <v>2707.7</v>
      </c>
      <c r="G934" s="490">
        <f t="shared" si="167"/>
        <v>0</v>
      </c>
      <c r="H934" s="490">
        <f t="shared" si="167"/>
        <v>2707.7</v>
      </c>
      <c r="I934" s="228">
        <f t="shared" si="167"/>
        <v>2610.6999999999998</v>
      </c>
      <c r="J934" s="228"/>
      <c r="K934" s="228">
        <f t="shared" si="167"/>
        <v>2610.6999999999998</v>
      </c>
      <c r="L934" s="228">
        <f t="shared" si="167"/>
        <v>2610.6999999999998</v>
      </c>
      <c r="M934" s="228"/>
      <c r="N934" s="228">
        <f t="shared" si="167"/>
        <v>2610.6999999999998</v>
      </c>
    </row>
    <row r="935" spans="1:14" x14ac:dyDescent="0.25">
      <c r="A935" s="225"/>
      <c r="B935" s="7" t="s">
        <v>816</v>
      </c>
      <c r="C935" s="230"/>
      <c r="D935" s="229"/>
      <c r="E935" s="231" t="s">
        <v>817</v>
      </c>
      <c r="F935" s="491">
        <f t="shared" si="167"/>
        <v>2707.7</v>
      </c>
      <c r="G935" s="491">
        <f t="shared" si="167"/>
        <v>0</v>
      </c>
      <c r="H935" s="491">
        <f t="shared" si="167"/>
        <v>2707.7</v>
      </c>
      <c r="I935" s="232">
        <f t="shared" si="167"/>
        <v>2610.6999999999998</v>
      </c>
      <c r="J935" s="232"/>
      <c r="K935" s="232">
        <f t="shared" si="167"/>
        <v>2610.6999999999998</v>
      </c>
      <c r="L935" s="232">
        <f t="shared" si="167"/>
        <v>2610.6999999999998</v>
      </c>
      <c r="M935" s="232"/>
      <c r="N935" s="232">
        <f t="shared" si="167"/>
        <v>2610.6999999999998</v>
      </c>
    </row>
    <row r="936" spans="1:14" ht="38.25" x14ac:dyDescent="0.25">
      <c r="A936" s="225"/>
      <c r="B936" s="7" t="s">
        <v>952</v>
      </c>
      <c r="C936" s="230"/>
      <c r="D936" s="7"/>
      <c r="E936" s="233" t="s">
        <v>953</v>
      </c>
      <c r="F936" s="491">
        <f t="shared" si="167"/>
        <v>2707.7</v>
      </c>
      <c r="G936" s="491">
        <f t="shared" si="167"/>
        <v>0</v>
      </c>
      <c r="H936" s="491">
        <f t="shared" si="167"/>
        <v>2707.7</v>
      </c>
      <c r="I936" s="232">
        <f t="shared" si="167"/>
        <v>2610.6999999999998</v>
      </c>
      <c r="J936" s="232"/>
      <c r="K936" s="232">
        <f t="shared" si="167"/>
        <v>2610.6999999999998</v>
      </c>
      <c r="L936" s="232">
        <f t="shared" si="167"/>
        <v>2610.6999999999998</v>
      </c>
      <c r="M936" s="232"/>
      <c r="N936" s="232">
        <f t="shared" si="167"/>
        <v>2610.6999999999998</v>
      </c>
    </row>
    <row r="937" spans="1:14" x14ac:dyDescent="0.25">
      <c r="A937" s="225"/>
      <c r="B937" s="27"/>
      <c r="C937" s="230" t="s">
        <v>825</v>
      </c>
      <c r="D937" s="7"/>
      <c r="E937" s="233" t="s">
        <v>1114</v>
      </c>
      <c r="F937" s="491">
        <f>F938+F946</f>
        <v>2707.7</v>
      </c>
      <c r="G937" s="491">
        <f>G938+G946</f>
        <v>0</v>
      </c>
      <c r="H937" s="491">
        <f>H938+H946</f>
        <v>2707.7</v>
      </c>
      <c r="I937" s="232">
        <f>I938+I946</f>
        <v>2610.6999999999998</v>
      </c>
      <c r="J937" s="232"/>
      <c r="K937" s="232">
        <f>K938+K946</f>
        <v>2610.6999999999998</v>
      </c>
      <c r="L937" s="232">
        <f>L938+L946</f>
        <v>2610.6999999999998</v>
      </c>
      <c r="M937" s="232"/>
      <c r="N937" s="232">
        <f>N938+N946</f>
        <v>2610.6999999999998</v>
      </c>
    </row>
    <row r="938" spans="1:14" ht="27" customHeight="1" x14ac:dyDescent="0.25">
      <c r="A938" s="225"/>
      <c r="B938" s="27"/>
      <c r="C938" s="248" t="s">
        <v>954</v>
      </c>
      <c r="D938" s="27"/>
      <c r="E938" s="28" t="s">
        <v>955</v>
      </c>
      <c r="F938" s="472">
        <f>F939+F941+F944</f>
        <v>2607.6999999999998</v>
      </c>
      <c r="G938" s="472">
        <f>G939+G941+G944</f>
        <v>0</v>
      </c>
      <c r="H938" s="472">
        <f>H939+H941+H944</f>
        <v>2607.6999999999998</v>
      </c>
      <c r="I938" s="29">
        <f>I939+I941+I944</f>
        <v>2610.6999999999998</v>
      </c>
      <c r="J938" s="29"/>
      <c r="K938" s="29">
        <f>K939+K941+K944</f>
        <v>2610.6999999999998</v>
      </c>
      <c r="L938" s="29">
        <f>L939+L941+L944</f>
        <v>2610.6999999999998</v>
      </c>
      <c r="M938" s="29"/>
      <c r="N938" s="29">
        <f>N939+N941+N944</f>
        <v>2610.6999999999998</v>
      </c>
    </row>
    <row r="939" spans="1:14" x14ac:dyDescent="0.25">
      <c r="A939" s="225"/>
      <c r="B939" s="27"/>
      <c r="C939" s="248" t="s">
        <v>956</v>
      </c>
      <c r="D939" s="27"/>
      <c r="E939" s="28" t="s">
        <v>957</v>
      </c>
      <c r="F939" s="472">
        <f>F940</f>
        <v>1164</v>
      </c>
      <c r="G939" s="472"/>
      <c r="H939" s="472">
        <f>H940</f>
        <v>1164</v>
      </c>
      <c r="I939" s="29">
        <f>I940</f>
        <v>1164</v>
      </c>
      <c r="J939" s="29"/>
      <c r="K939" s="29">
        <f>K940</f>
        <v>1164</v>
      </c>
      <c r="L939" s="29">
        <f>L940</f>
        <v>1164</v>
      </c>
      <c r="M939" s="29"/>
      <c r="N939" s="29">
        <f>N940</f>
        <v>1164</v>
      </c>
    </row>
    <row r="940" spans="1:14" ht="39" x14ac:dyDescent="0.25">
      <c r="A940" s="225"/>
      <c r="B940" s="27"/>
      <c r="C940" s="248"/>
      <c r="D940" s="27" t="s">
        <v>30</v>
      </c>
      <c r="E940" s="26" t="s">
        <v>450</v>
      </c>
      <c r="F940" s="472">
        <v>1164</v>
      </c>
      <c r="G940" s="472"/>
      <c r="H940" s="472">
        <v>1164</v>
      </c>
      <c r="I940" s="29">
        <v>1164</v>
      </c>
      <c r="J940" s="29"/>
      <c r="K940" s="29">
        <v>1164</v>
      </c>
      <c r="L940" s="29">
        <v>1164</v>
      </c>
      <c r="M940" s="29"/>
      <c r="N940" s="29">
        <v>1164</v>
      </c>
    </row>
    <row r="941" spans="1:14" ht="25.5" x14ac:dyDescent="0.25">
      <c r="A941" s="225"/>
      <c r="B941" s="27"/>
      <c r="C941" s="248" t="s">
        <v>958</v>
      </c>
      <c r="D941" s="27"/>
      <c r="E941" s="28" t="s">
        <v>959</v>
      </c>
      <c r="F941" s="472">
        <f>F942+F943</f>
        <v>1432.7</v>
      </c>
      <c r="G941" s="472">
        <f>G942+G943</f>
        <v>0</v>
      </c>
      <c r="H941" s="472">
        <f>H942+H943</f>
        <v>1432.7</v>
      </c>
      <c r="I941" s="29">
        <f>I942+I943</f>
        <v>1446.7</v>
      </c>
      <c r="J941" s="29"/>
      <c r="K941" s="29">
        <f>K942+K943</f>
        <v>1446.7</v>
      </c>
      <c r="L941" s="29">
        <f>L942+L943</f>
        <v>1446.7</v>
      </c>
      <c r="M941" s="29"/>
      <c r="N941" s="29">
        <f>N942+N943</f>
        <v>1446.7</v>
      </c>
    </row>
    <row r="942" spans="1:14" ht="39" x14ac:dyDescent="0.25">
      <c r="A942" s="225"/>
      <c r="B942" s="27"/>
      <c r="C942" s="248"/>
      <c r="D942" s="27" t="s">
        <v>30</v>
      </c>
      <c r="E942" s="26" t="s">
        <v>450</v>
      </c>
      <c r="F942" s="472">
        <v>1392</v>
      </c>
      <c r="G942" s="472"/>
      <c r="H942" s="472">
        <f>SUM(F942:G942)</f>
        <v>1392</v>
      </c>
      <c r="I942" s="29">
        <v>1406</v>
      </c>
      <c r="J942" s="29"/>
      <c r="K942" s="29">
        <v>1406</v>
      </c>
      <c r="L942" s="29">
        <v>1406</v>
      </c>
      <c r="M942" s="29"/>
      <c r="N942" s="29">
        <v>1406</v>
      </c>
    </row>
    <row r="943" spans="1:14" ht="25.5" x14ac:dyDescent="0.25">
      <c r="A943" s="225"/>
      <c r="B943" s="27"/>
      <c r="C943" s="248"/>
      <c r="D943" s="27" t="s">
        <v>17</v>
      </c>
      <c r="E943" s="30" t="s">
        <v>18</v>
      </c>
      <c r="F943" s="472">
        <v>40.700000000000003</v>
      </c>
      <c r="G943" s="472"/>
      <c r="H943" s="472">
        <v>40.700000000000003</v>
      </c>
      <c r="I943" s="29">
        <v>40.700000000000003</v>
      </c>
      <c r="J943" s="29"/>
      <c r="K943" s="29">
        <v>40.700000000000003</v>
      </c>
      <c r="L943" s="29">
        <v>40.700000000000003</v>
      </c>
      <c r="M943" s="29"/>
      <c r="N943" s="29">
        <v>40.700000000000003</v>
      </c>
    </row>
    <row r="944" spans="1:14" x14ac:dyDescent="0.25">
      <c r="A944" s="344"/>
      <c r="B944" s="27"/>
      <c r="C944" s="248" t="s">
        <v>381</v>
      </c>
      <c r="D944" s="27"/>
      <c r="E944" s="28" t="s">
        <v>382</v>
      </c>
      <c r="F944" s="472">
        <f>F945</f>
        <v>11</v>
      </c>
      <c r="G944" s="472"/>
      <c r="H944" s="472">
        <f>H945</f>
        <v>11</v>
      </c>
      <c r="I944" s="29">
        <f t="shared" ref="I944:N944" si="168">I945</f>
        <v>0</v>
      </c>
      <c r="J944" s="29"/>
      <c r="K944" s="29">
        <f t="shared" si="168"/>
        <v>0</v>
      </c>
      <c r="L944" s="29">
        <f t="shared" si="168"/>
        <v>0</v>
      </c>
      <c r="M944" s="29"/>
      <c r="N944" s="29">
        <f t="shared" si="168"/>
        <v>0</v>
      </c>
    </row>
    <row r="945" spans="1:14" ht="25.5" x14ac:dyDescent="0.25">
      <c r="A945" s="344"/>
      <c r="B945" s="27"/>
      <c r="C945" s="248"/>
      <c r="D945" s="27" t="s">
        <v>17</v>
      </c>
      <c r="E945" s="28" t="s">
        <v>18</v>
      </c>
      <c r="F945" s="472">
        <v>11</v>
      </c>
      <c r="G945" s="472"/>
      <c r="H945" s="472">
        <v>11</v>
      </c>
      <c r="I945" s="29">
        <v>0</v>
      </c>
      <c r="J945" s="29"/>
      <c r="K945" s="29">
        <v>0</v>
      </c>
      <c r="L945" s="29">
        <v>0</v>
      </c>
      <c r="M945" s="29"/>
      <c r="N945" s="29">
        <v>0</v>
      </c>
    </row>
    <row r="946" spans="1:14" ht="38.25" x14ac:dyDescent="0.25">
      <c r="A946" s="344"/>
      <c r="B946" s="27"/>
      <c r="C946" s="230" t="s">
        <v>383</v>
      </c>
      <c r="D946" s="7"/>
      <c r="E946" s="233" t="s">
        <v>1113</v>
      </c>
      <c r="F946" s="491">
        <f t="shared" ref="F946:N947" si="169">F947</f>
        <v>100</v>
      </c>
      <c r="G946" s="491"/>
      <c r="H946" s="491">
        <f t="shared" si="169"/>
        <v>100</v>
      </c>
      <c r="I946" s="232">
        <f t="shared" si="169"/>
        <v>0</v>
      </c>
      <c r="J946" s="232"/>
      <c r="K946" s="232">
        <f t="shared" si="169"/>
        <v>0</v>
      </c>
      <c r="L946" s="232">
        <f t="shared" si="169"/>
        <v>0</v>
      </c>
      <c r="M946" s="232"/>
      <c r="N946" s="232">
        <f t="shared" si="169"/>
        <v>0</v>
      </c>
    </row>
    <row r="947" spans="1:14" ht="25.5" x14ac:dyDescent="0.25">
      <c r="A947" s="229"/>
      <c r="B947" s="27"/>
      <c r="C947" s="248" t="s">
        <v>401</v>
      </c>
      <c r="D947" s="27"/>
      <c r="E947" s="30" t="s">
        <v>402</v>
      </c>
      <c r="F947" s="472">
        <f t="shared" si="169"/>
        <v>100</v>
      </c>
      <c r="G947" s="472"/>
      <c r="H947" s="472">
        <f t="shared" si="169"/>
        <v>100</v>
      </c>
      <c r="I947" s="29">
        <f t="shared" si="169"/>
        <v>0</v>
      </c>
      <c r="J947" s="29"/>
      <c r="K947" s="29">
        <f t="shared" si="169"/>
        <v>0</v>
      </c>
      <c r="L947" s="29">
        <f t="shared" si="169"/>
        <v>0</v>
      </c>
      <c r="M947" s="29"/>
      <c r="N947" s="29">
        <f t="shared" si="169"/>
        <v>0</v>
      </c>
    </row>
    <row r="948" spans="1:14" ht="25.5" x14ac:dyDescent="0.25">
      <c r="A948" s="225"/>
      <c r="B948" s="27"/>
      <c r="C948" s="248"/>
      <c r="D948" s="27" t="s">
        <v>17</v>
      </c>
      <c r="E948" s="30" t="s">
        <v>18</v>
      </c>
      <c r="F948" s="472">
        <v>100</v>
      </c>
      <c r="G948" s="472"/>
      <c r="H948" s="472">
        <v>100</v>
      </c>
      <c r="I948" s="29">
        <v>0</v>
      </c>
      <c r="J948" s="29"/>
      <c r="K948" s="29">
        <v>0</v>
      </c>
      <c r="L948" s="29">
        <v>0</v>
      </c>
      <c r="M948" s="29"/>
      <c r="N948" s="29">
        <v>0</v>
      </c>
    </row>
    <row r="949" spans="1:14" ht="25.5" x14ac:dyDescent="0.25">
      <c r="A949" s="226">
        <v>651</v>
      </c>
      <c r="B949" s="326"/>
      <c r="C949" s="327"/>
      <c r="D949" s="226"/>
      <c r="E949" s="227" t="s">
        <v>960</v>
      </c>
      <c r="F949" s="490">
        <f>F950</f>
        <v>7983</v>
      </c>
      <c r="G949" s="490">
        <f>G950</f>
        <v>-117.47</v>
      </c>
      <c r="H949" s="490">
        <f>H950</f>
        <v>7865.53</v>
      </c>
      <c r="I949" s="228">
        <f>I950</f>
        <v>8214.2000000000007</v>
      </c>
      <c r="J949" s="228"/>
      <c r="K949" s="228">
        <f>K950</f>
        <v>8214.2000000000007</v>
      </c>
      <c r="L949" s="228">
        <f>L950</f>
        <v>8246</v>
      </c>
      <c r="M949" s="228"/>
      <c r="N949" s="228">
        <f>N950</f>
        <v>8246</v>
      </c>
    </row>
    <row r="950" spans="1:14" x14ac:dyDescent="0.25">
      <c r="A950" s="225"/>
      <c r="B950" s="7" t="s">
        <v>816</v>
      </c>
      <c r="C950" s="230"/>
      <c r="D950" s="229"/>
      <c r="E950" s="231" t="s">
        <v>817</v>
      </c>
      <c r="F950" s="491">
        <f>F951+F961</f>
        <v>7983</v>
      </c>
      <c r="G950" s="491">
        <f>G951+G961</f>
        <v>-117.47</v>
      </c>
      <c r="H950" s="491">
        <f>H951+H961</f>
        <v>7865.53</v>
      </c>
      <c r="I950" s="232">
        <f>I951+I961</f>
        <v>8214.2000000000007</v>
      </c>
      <c r="J950" s="232"/>
      <c r="K950" s="232">
        <f>K951+K961</f>
        <v>8214.2000000000007</v>
      </c>
      <c r="L950" s="232">
        <f>L951+L961</f>
        <v>8246</v>
      </c>
      <c r="M950" s="232"/>
      <c r="N950" s="232">
        <f>N951+N961</f>
        <v>8246</v>
      </c>
    </row>
    <row r="951" spans="1:14" ht="25.5" x14ac:dyDescent="0.25">
      <c r="A951" s="225"/>
      <c r="B951" s="7" t="s">
        <v>961</v>
      </c>
      <c r="C951" s="230"/>
      <c r="D951" s="229"/>
      <c r="E951" s="231" t="s">
        <v>962</v>
      </c>
      <c r="F951" s="491">
        <f t="shared" ref="F951:N954" si="170">F952</f>
        <v>7583</v>
      </c>
      <c r="G951" s="491">
        <f t="shared" si="170"/>
        <v>0</v>
      </c>
      <c r="H951" s="491">
        <f t="shared" si="170"/>
        <v>7583</v>
      </c>
      <c r="I951" s="232">
        <f t="shared" si="170"/>
        <v>7420.7</v>
      </c>
      <c r="J951" s="232"/>
      <c r="K951" s="232">
        <f t="shared" si="170"/>
        <v>7420.7</v>
      </c>
      <c r="L951" s="232">
        <f t="shared" si="170"/>
        <v>7420.7</v>
      </c>
      <c r="M951" s="232"/>
      <c r="N951" s="232">
        <f t="shared" si="170"/>
        <v>7420.7</v>
      </c>
    </row>
    <row r="952" spans="1:14" ht="25.5" x14ac:dyDescent="0.25">
      <c r="A952" s="225"/>
      <c r="B952" s="7"/>
      <c r="C952" s="230" t="s">
        <v>9</v>
      </c>
      <c r="D952" s="229"/>
      <c r="E952" s="231" t="s">
        <v>10</v>
      </c>
      <c r="F952" s="491">
        <f t="shared" si="170"/>
        <v>7583</v>
      </c>
      <c r="G952" s="491">
        <f t="shared" si="170"/>
        <v>0</v>
      </c>
      <c r="H952" s="491">
        <f t="shared" si="170"/>
        <v>7583</v>
      </c>
      <c r="I952" s="232">
        <f t="shared" si="170"/>
        <v>7420.7</v>
      </c>
      <c r="J952" s="232"/>
      <c r="K952" s="232">
        <f t="shared" si="170"/>
        <v>7420.7</v>
      </c>
      <c r="L952" s="232">
        <f t="shared" si="170"/>
        <v>7420.7</v>
      </c>
      <c r="M952" s="232"/>
      <c r="N952" s="232">
        <f t="shared" si="170"/>
        <v>7420.7</v>
      </c>
    </row>
    <row r="953" spans="1:14" ht="25.5" x14ac:dyDescent="0.25">
      <c r="A953" s="260"/>
      <c r="B953" s="235"/>
      <c r="C953" s="236" t="s">
        <v>11</v>
      </c>
      <c r="D953" s="235"/>
      <c r="E953" s="237" t="s">
        <v>12</v>
      </c>
      <c r="F953" s="492">
        <f t="shared" si="170"/>
        <v>7583</v>
      </c>
      <c r="G953" s="492">
        <f t="shared" si="170"/>
        <v>0</v>
      </c>
      <c r="H953" s="492">
        <f t="shared" si="170"/>
        <v>7583</v>
      </c>
      <c r="I953" s="238">
        <f t="shared" si="170"/>
        <v>7420.7</v>
      </c>
      <c r="J953" s="238"/>
      <c r="K953" s="238">
        <f t="shared" si="170"/>
        <v>7420.7</v>
      </c>
      <c r="L953" s="238">
        <f t="shared" si="170"/>
        <v>7420.7</v>
      </c>
      <c r="M953" s="238"/>
      <c r="N953" s="238">
        <f t="shared" si="170"/>
        <v>7420.7</v>
      </c>
    </row>
    <row r="954" spans="1:14" ht="25.5" x14ac:dyDescent="0.25">
      <c r="A954" s="239"/>
      <c r="B954" s="240"/>
      <c r="C954" s="241" t="s">
        <v>26</v>
      </c>
      <c r="D954" s="240"/>
      <c r="E954" s="242" t="s">
        <v>27</v>
      </c>
      <c r="F954" s="514">
        <f t="shared" si="170"/>
        <v>7583</v>
      </c>
      <c r="G954" s="514">
        <f t="shared" si="170"/>
        <v>0</v>
      </c>
      <c r="H954" s="514">
        <f t="shared" si="170"/>
        <v>7583</v>
      </c>
      <c r="I954" s="243">
        <f t="shared" si="170"/>
        <v>7420.7</v>
      </c>
      <c r="J954" s="243"/>
      <c r="K954" s="243">
        <f t="shared" si="170"/>
        <v>7420.7</v>
      </c>
      <c r="L954" s="243">
        <f t="shared" si="170"/>
        <v>7420.7</v>
      </c>
      <c r="M954" s="243"/>
      <c r="N954" s="243">
        <f t="shared" si="170"/>
        <v>7420.7</v>
      </c>
    </row>
    <row r="955" spans="1:14" ht="38.25" x14ac:dyDescent="0.25">
      <c r="A955" s="244"/>
      <c r="B955" s="34"/>
      <c r="C955" s="245" t="s">
        <v>28</v>
      </c>
      <c r="D955" s="34"/>
      <c r="E955" s="246" t="s">
        <v>466</v>
      </c>
      <c r="F955" s="494">
        <f>F956+F959</f>
        <v>7583</v>
      </c>
      <c r="G955" s="494">
        <f>G956+G959</f>
        <v>0</v>
      </c>
      <c r="H955" s="494">
        <f>H956+H959</f>
        <v>7583</v>
      </c>
      <c r="I955" s="247">
        <f>I956+I959</f>
        <v>7420.7</v>
      </c>
      <c r="J955" s="247"/>
      <c r="K955" s="247">
        <f>K956+K959</f>
        <v>7420.7</v>
      </c>
      <c r="L955" s="247">
        <f>L956+L959</f>
        <v>7420.7</v>
      </c>
      <c r="M955" s="247"/>
      <c r="N955" s="247">
        <f>N956+N959</f>
        <v>7420.7</v>
      </c>
    </row>
    <row r="956" spans="1:14" ht="25.5" x14ac:dyDescent="0.25">
      <c r="A956" s="229"/>
      <c r="B956" s="27"/>
      <c r="C956" s="248" t="s">
        <v>31</v>
      </c>
      <c r="D956" s="27"/>
      <c r="E956" s="28" t="s">
        <v>988</v>
      </c>
      <c r="F956" s="472">
        <f>F957+F958</f>
        <v>7550</v>
      </c>
      <c r="G956" s="472">
        <f>G957+G958</f>
        <v>0</v>
      </c>
      <c r="H956" s="472">
        <f>H957+H958</f>
        <v>7550</v>
      </c>
      <c r="I956" s="29">
        <f>I957+I958</f>
        <v>7420.7</v>
      </c>
      <c r="J956" s="29"/>
      <c r="K956" s="29">
        <f>K957+K958</f>
        <v>7420.7</v>
      </c>
      <c r="L956" s="29">
        <f>L957+L958</f>
        <v>7420.7</v>
      </c>
      <c r="M956" s="29"/>
      <c r="N956" s="29">
        <f>N957+N958</f>
        <v>7420.7</v>
      </c>
    </row>
    <row r="957" spans="1:14" ht="39" x14ac:dyDescent="0.25">
      <c r="A957" s="225"/>
      <c r="B957" s="27"/>
      <c r="C957" s="248"/>
      <c r="D957" s="27" t="s">
        <v>30</v>
      </c>
      <c r="E957" s="26" t="s">
        <v>450</v>
      </c>
      <c r="F957" s="472">
        <v>7092.7</v>
      </c>
      <c r="G957" s="472"/>
      <c r="H957" s="472">
        <f>SUM(F957:G957)</f>
        <v>7092.7</v>
      </c>
      <c r="I957" s="29">
        <v>6999.5</v>
      </c>
      <c r="J957" s="29"/>
      <c r="K957" s="29">
        <v>6999.5</v>
      </c>
      <c r="L957" s="29">
        <v>6999.5</v>
      </c>
      <c r="M957" s="29"/>
      <c r="N957" s="29">
        <v>6999.5</v>
      </c>
    </row>
    <row r="958" spans="1:14" ht="25.5" x14ac:dyDescent="0.25">
      <c r="A958" s="225"/>
      <c r="B958" s="27"/>
      <c r="C958" s="248"/>
      <c r="D958" s="27" t="s">
        <v>17</v>
      </c>
      <c r="E958" s="30" t="s">
        <v>18</v>
      </c>
      <c r="F958" s="472">
        <v>457.3</v>
      </c>
      <c r="G958" s="472"/>
      <c r="H958" s="472">
        <f>SUM(F958:G958)</f>
        <v>457.3</v>
      </c>
      <c r="I958" s="29">
        <v>421.2</v>
      </c>
      <c r="J958" s="29"/>
      <c r="K958" s="29">
        <v>421.2</v>
      </c>
      <c r="L958" s="29">
        <v>421.2</v>
      </c>
      <c r="M958" s="29"/>
      <c r="N958" s="29">
        <v>421.2</v>
      </c>
    </row>
    <row r="959" spans="1:14" ht="51" x14ac:dyDescent="0.25">
      <c r="A959" s="225"/>
      <c r="B959" s="27"/>
      <c r="C959" s="248" t="s">
        <v>34</v>
      </c>
      <c r="D959" s="27"/>
      <c r="E959" s="28" t="s">
        <v>987</v>
      </c>
      <c r="F959" s="472">
        <f>F960</f>
        <v>33</v>
      </c>
      <c r="G959" s="472"/>
      <c r="H959" s="472">
        <f>H960</f>
        <v>33</v>
      </c>
      <c r="I959" s="29">
        <f t="shared" ref="I959:N959" si="171">I960</f>
        <v>0</v>
      </c>
      <c r="J959" s="29"/>
      <c r="K959" s="29">
        <f t="shared" si="171"/>
        <v>0</v>
      </c>
      <c r="L959" s="29">
        <f t="shared" si="171"/>
        <v>0</v>
      </c>
      <c r="M959" s="29"/>
      <c r="N959" s="29">
        <f t="shared" si="171"/>
        <v>0</v>
      </c>
    </row>
    <row r="960" spans="1:14" ht="25.5" x14ac:dyDescent="0.25">
      <c r="A960" s="251"/>
      <c r="B960" s="27"/>
      <c r="C960" s="248"/>
      <c r="D960" s="27" t="s">
        <v>17</v>
      </c>
      <c r="E960" s="30" t="s">
        <v>18</v>
      </c>
      <c r="F960" s="472">
        <v>33</v>
      </c>
      <c r="G960" s="472"/>
      <c r="H960" s="472">
        <v>33</v>
      </c>
      <c r="I960" s="29">
        <v>0</v>
      </c>
      <c r="J960" s="29"/>
      <c r="K960" s="29">
        <v>0</v>
      </c>
      <c r="L960" s="29">
        <v>0</v>
      </c>
      <c r="M960" s="29"/>
      <c r="N960" s="29">
        <v>0</v>
      </c>
    </row>
    <row r="961" spans="1:16" x14ac:dyDescent="0.25">
      <c r="A961" s="251"/>
      <c r="B961" s="7" t="s">
        <v>963</v>
      </c>
      <c r="C961" s="230"/>
      <c r="D961" s="7"/>
      <c r="E961" s="233" t="s">
        <v>964</v>
      </c>
      <c r="F961" s="491">
        <f t="shared" ref="F961:N964" si="172">F962</f>
        <v>400</v>
      </c>
      <c r="G961" s="491">
        <f t="shared" si="172"/>
        <v>-117.47</v>
      </c>
      <c r="H961" s="491">
        <f>H962</f>
        <v>282.52999999999997</v>
      </c>
      <c r="I961" s="232">
        <f t="shared" si="172"/>
        <v>793.5</v>
      </c>
      <c r="J961" s="232"/>
      <c r="K961" s="232">
        <f t="shared" si="172"/>
        <v>793.5</v>
      </c>
      <c r="L961" s="232">
        <f t="shared" si="172"/>
        <v>825.3</v>
      </c>
      <c r="M961" s="232"/>
      <c r="N961" s="232">
        <f t="shared" si="172"/>
        <v>825.3</v>
      </c>
    </row>
    <row r="962" spans="1:16" x14ac:dyDescent="0.25">
      <c r="A962" s="251"/>
      <c r="B962" s="7"/>
      <c r="C962" s="230" t="s">
        <v>825</v>
      </c>
      <c r="D962" s="7"/>
      <c r="E962" s="233" t="s">
        <v>1114</v>
      </c>
      <c r="F962" s="491">
        <f t="shared" si="172"/>
        <v>400</v>
      </c>
      <c r="G962" s="491">
        <f t="shared" si="172"/>
        <v>-117.47</v>
      </c>
      <c r="H962" s="491">
        <f>H963</f>
        <v>282.52999999999997</v>
      </c>
      <c r="I962" s="232">
        <f t="shared" si="172"/>
        <v>793.5</v>
      </c>
      <c r="J962" s="232"/>
      <c r="K962" s="232">
        <f t="shared" si="172"/>
        <v>793.5</v>
      </c>
      <c r="L962" s="232">
        <f t="shared" si="172"/>
        <v>825.3</v>
      </c>
      <c r="M962" s="232"/>
      <c r="N962" s="232">
        <f t="shared" si="172"/>
        <v>825.3</v>
      </c>
      <c r="O962" s="43"/>
      <c r="P962" s="43"/>
    </row>
    <row r="963" spans="1:16" ht="38.25" x14ac:dyDescent="0.25">
      <c r="A963" s="251"/>
      <c r="B963" s="7"/>
      <c r="C963" s="230" t="s">
        <v>383</v>
      </c>
      <c r="D963" s="7"/>
      <c r="E963" s="233" t="s">
        <v>1113</v>
      </c>
      <c r="F963" s="491">
        <f t="shared" si="172"/>
        <v>400</v>
      </c>
      <c r="G963" s="491">
        <f t="shared" si="172"/>
        <v>-117.47</v>
      </c>
      <c r="H963" s="491">
        <f>H964</f>
        <v>282.52999999999997</v>
      </c>
      <c r="I963" s="232">
        <f t="shared" si="172"/>
        <v>793.5</v>
      </c>
      <c r="J963" s="232"/>
      <c r="K963" s="232">
        <f t="shared" si="172"/>
        <v>793.5</v>
      </c>
      <c r="L963" s="232">
        <f t="shared" si="172"/>
        <v>825.3</v>
      </c>
      <c r="M963" s="232"/>
      <c r="N963" s="232">
        <f t="shared" si="172"/>
        <v>825.3</v>
      </c>
    </row>
    <row r="964" spans="1:16" ht="25.5" x14ac:dyDescent="0.25">
      <c r="A964" s="251"/>
      <c r="B964" s="27"/>
      <c r="C964" s="248" t="s">
        <v>398</v>
      </c>
      <c r="D964" s="27"/>
      <c r="E964" s="30" t="s">
        <v>965</v>
      </c>
      <c r="F964" s="472">
        <f t="shared" si="172"/>
        <v>400</v>
      </c>
      <c r="G964" s="472">
        <f>G965</f>
        <v>-117.47</v>
      </c>
      <c r="H964" s="472">
        <f>H965</f>
        <v>282.52999999999997</v>
      </c>
      <c r="I964" s="29">
        <f t="shared" si="172"/>
        <v>793.5</v>
      </c>
      <c r="J964" s="29"/>
      <c r="K964" s="29">
        <f t="shared" si="172"/>
        <v>793.5</v>
      </c>
      <c r="L964" s="29">
        <f t="shared" si="172"/>
        <v>825.3</v>
      </c>
      <c r="M964" s="29"/>
      <c r="N964" s="29">
        <f t="shared" si="172"/>
        <v>825.3</v>
      </c>
    </row>
    <row r="965" spans="1:16" x14ac:dyDescent="0.25">
      <c r="A965" s="251"/>
      <c r="B965" s="27"/>
      <c r="C965" s="248"/>
      <c r="D965" s="27" t="s">
        <v>32</v>
      </c>
      <c r="E965" s="30" t="s">
        <v>33</v>
      </c>
      <c r="F965" s="472">
        <v>400</v>
      </c>
      <c r="G965" s="472">
        <v>-117.47</v>
      </c>
      <c r="H965" s="472">
        <f>SUM(F965:G965)</f>
        <v>282.52999999999997</v>
      </c>
      <c r="I965" s="29">
        <v>793.5</v>
      </c>
      <c r="J965" s="29"/>
      <c r="K965" s="29">
        <v>793.5</v>
      </c>
      <c r="L965" s="29">
        <v>825.3</v>
      </c>
      <c r="M965" s="29"/>
      <c r="N965" s="29">
        <v>825.3</v>
      </c>
    </row>
    <row r="966" spans="1:16" x14ac:dyDescent="0.25">
      <c r="A966" s="348"/>
      <c r="B966" s="349"/>
      <c r="C966" s="349"/>
      <c r="D966" s="349"/>
      <c r="E966" s="350" t="s">
        <v>408</v>
      </c>
      <c r="F966" s="519">
        <f t="shared" ref="F966:N966" si="173">F6+F934+F949+F786+F573</f>
        <v>909413.7</v>
      </c>
      <c r="G966" s="519">
        <f t="shared" si="173"/>
        <v>2260.5009999999975</v>
      </c>
      <c r="H966" s="519">
        <f t="shared" si="173"/>
        <v>911674.201</v>
      </c>
      <c r="I966" s="351">
        <f t="shared" si="173"/>
        <v>783118.60000000009</v>
      </c>
      <c r="J966" s="351">
        <f t="shared" si="173"/>
        <v>2334.5</v>
      </c>
      <c r="K966" s="351">
        <f t="shared" si="173"/>
        <v>785453.10000000009</v>
      </c>
      <c r="L966" s="351">
        <f t="shared" si="173"/>
        <v>726056.9</v>
      </c>
      <c r="M966" s="351">
        <f t="shared" si="173"/>
        <v>0</v>
      </c>
      <c r="N966" s="351">
        <f t="shared" si="173"/>
        <v>726056.9</v>
      </c>
    </row>
    <row r="967" spans="1:16" ht="14.45" x14ac:dyDescent="0.3">
      <c r="L967" s="39">
        <v>726056.9</v>
      </c>
    </row>
  </sheetData>
  <autoFilter ref="A5:V967"/>
  <mergeCells count="4">
    <mergeCell ref="A4:N4"/>
    <mergeCell ref="F1:N1"/>
    <mergeCell ref="F2:N2"/>
    <mergeCell ref="H3:N3"/>
  </mergeCells>
  <pageMargins left="1.1811023622047245" right="0.43307086614173229" top="0.35433070866141736" bottom="0.19685039370078741" header="0" footer="0"/>
  <pageSetup paperSize="9" scale="5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zoomScale="70" zoomScaleNormal="70" workbookViewId="0">
      <selection activeCell="J40" sqref="J40"/>
    </sheetView>
  </sheetViews>
  <sheetFormatPr defaultRowHeight="15" x14ac:dyDescent="0.25"/>
  <cols>
    <col min="1" max="1" width="8.7109375" customWidth="1"/>
    <col min="2" max="2" width="53.42578125" customWidth="1"/>
    <col min="3" max="3" width="15.7109375" customWidth="1"/>
    <col min="4" max="4" width="15.85546875" customWidth="1"/>
    <col min="5" max="5" width="15.5703125" customWidth="1"/>
    <col min="6" max="6" width="17" customWidth="1"/>
    <col min="7" max="7" width="17.85546875" customWidth="1"/>
    <col min="8" max="8" width="14.5703125" customWidth="1"/>
    <col min="9" max="9" width="15.140625" customWidth="1"/>
    <col min="10" max="10" width="17.140625" customWidth="1"/>
    <col min="11" max="11" width="15.7109375" customWidth="1"/>
    <col min="12" max="12" width="13.5703125" bestFit="1" customWidth="1"/>
    <col min="257" max="257" width="8.7109375" customWidth="1"/>
    <col min="258" max="258" width="53.42578125" customWidth="1"/>
    <col min="259" max="259" width="15.7109375" customWidth="1"/>
    <col min="260" max="260" width="15.85546875" customWidth="1"/>
    <col min="261" max="261" width="15.5703125" customWidth="1"/>
    <col min="262" max="262" width="17" customWidth="1"/>
    <col min="263" max="263" width="17.85546875" customWidth="1"/>
    <col min="264" max="264" width="14.5703125" customWidth="1"/>
    <col min="265" max="265" width="15.140625" customWidth="1"/>
    <col min="266" max="266" width="17.140625" customWidth="1"/>
    <col min="267" max="267" width="15.7109375" customWidth="1"/>
    <col min="268" max="268" width="13.5703125" bestFit="1" customWidth="1"/>
    <col min="513" max="513" width="8.7109375" customWidth="1"/>
    <col min="514" max="514" width="53.42578125" customWidth="1"/>
    <col min="515" max="515" width="15.7109375" customWidth="1"/>
    <col min="516" max="516" width="15.85546875" customWidth="1"/>
    <col min="517" max="517" width="15.5703125" customWidth="1"/>
    <col min="518" max="518" width="17" customWidth="1"/>
    <col min="519" max="519" width="17.85546875" customWidth="1"/>
    <col min="520" max="520" width="14.5703125" customWidth="1"/>
    <col min="521" max="521" width="15.140625" customWidth="1"/>
    <col min="522" max="522" width="17.140625" customWidth="1"/>
    <col min="523" max="523" width="15.7109375" customWidth="1"/>
    <col min="524" max="524" width="13.5703125" bestFit="1" customWidth="1"/>
    <col min="769" max="769" width="8.7109375" customWidth="1"/>
    <col min="770" max="770" width="53.42578125" customWidth="1"/>
    <col min="771" max="771" width="15.7109375" customWidth="1"/>
    <col min="772" max="772" width="15.85546875" customWidth="1"/>
    <col min="773" max="773" width="15.5703125" customWidth="1"/>
    <col min="774" max="774" width="17" customWidth="1"/>
    <col min="775" max="775" width="17.85546875" customWidth="1"/>
    <col min="776" max="776" width="14.5703125" customWidth="1"/>
    <col min="777" max="777" width="15.140625" customWidth="1"/>
    <col min="778" max="778" width="17.140625" customWidth="1"/>
    <col min="779" max="779" width="15.7109375" customWidth="1"/>
    <col min="780" max="780" width="13.5703125" bestFit="1" customWidth="1"/>
    <col min="1025" max="1025" width="8.7109375" customWidth="1"/>
    <col min="1026" max="1026" width="53.42578125" customWidth="1"/>
    <col min="1027" max="1027" width="15.7109375" customWidth="1"/>
    <col min="1028" max="1028" width="15.85546875" customWidth="1"/>
    <col min="1029" max="1029" width="15.5703125" customWidth="1"/>
    <col min="1030" max="1030" width="17" customWidth="1"/>
    <col min="1031" max="1031" width="17.85546875" customWidth="1"/>
    <col min="1032" max="1032" width="14.5703125" customWidth="1"/>
    <col min="1033" max="1033" width="15.140625" customWidth="1"/>
    <col min="1034" max="1034" width="17.140625" customWidth="1"/>
    <col min="1035" max="1035" width="15.7109375" customWidth="1"/>
    <col min="1036" max="1036" width="13.5703125" bestFit="1" customWidth="1"/>
    <col min="1281" max="1281" width="8.7109375" customWidth="1"/>
    <col min="1282" max="1282" width="53.42578125" customWidth="1"/>
    <col min="1283" max="1283" width="15.7109375" customWidth="1"/>
    <col min="1284" max="1284" width="15.85546875" customWidth="1"/>
    <col min="1285" max="1285" width="15.5703125" customWidth="1"/>
    <col min="1286" max="1286" width="17" customWidth="1"/>
    <col min="1287" max="1287" width="17.85546875" customWidth="1"/>
    <col min="1288" max="1288" width="14.5703125" customWidth="1"/>
    <col min="1289" max="1289" width="15.140625" customWidth="1"/>
    <col min="1290" max="1290" width="17.140625" customWidth="1"/>
    <col min="1291" max="1291" width="15.7109375" customWidth="1"/>
    <col min="1292" max="1292" width="13.5703125" bestFit="1" customWidth="1"/>
    <col min="1537" max="1537" width="8.7109375" customWidth="1"/>
    <col min="1538" max="1538" width="53.42578125" customWidth="1"/>
    <col min="1539" max="1539" width="15.7109375" customWidth="1"/>
    <col min="1540" max="1540" width="15.85546875" customWidth="1"/>
    <col min="1541" max="1541" width="15.5703125" customWidth="1"/>
    <col min="1542" max="1542" width="17" customWidth="1"/>
    <col min="1543" max="1543" width="17.85546875" customWidth="1"/>
    <col min="1544" max="1544" width="14.5703125" customWidth="1"/>
    <col min="1545" max="1545" width="15.140625" customWidth="1"/>
    <col min="1546" max="1546" width="17.140625" customWidth="1"/>
    <col min="1547" max="1547" width="15.7109375" customWidth="1"/>
    <col min="1548" max="1548" width="13.5703125" bestFit="1" customWidth="1"/>
    <col min="1793" max="1793" width="8.7109375" customWidth="1"/>
    <col min="1794" max="1794" width="53.42578125" customWidth="1"/>
    <col min="1795" max="1795" width="15.7109375" customWidth="1"/>
    <col min="1796" max="1796" width="15.85546875" customWidth="1"/>
    <col min="1797" max="1797" width="15.5703125" customWidth="1"/>
    <col min="1798" max="1798" width="17" customWidth="1"/>
    <col min="1799" max="1799" width="17.85546875" customWidth="1"/>
    <col min="1800" max="1800" width="14.5703125" customWidth="1"/>
    <col min="1801" max="1801" width="15.140625" customWidth="1"/>
    <col min="1802" max="1802" width="17.140625" customWidth="1"/>
    <col min="1803" max="1803" width="15.7109375" customWidth="1"/>
    <col min="1804" max="1804" width="13.5703125" bestFit="1" customWidth="1"/>
    <col min="2049" max="2049" width="8.7109375" customWidth="1"/>
    <col min="2050" max="2050" width="53.42578125" customWidth="1"/>
    <col min="2051" max="2051" width="15.7109375" customWidth="1"/>
    <col min="2052" max="2052" width="15.85546875" customWidth="1"/>
    <col min="2053" max="2053" width="15.5703125" customWidth="1"/>
    <col min="2054" max="2054" width="17" customWidth="1"/>
    <col min="2055" max="2055" width="17.85546875" customWidth="1"/>
    <col min="2056" max="2056" width="14.5703125" customWidth="1"/>
    <col min="2057" max="2057" width="15.140625" customWidth="1"/>
    <col min="2058" max="2058" width="17.140625" customWidth="1"/>
    <col min="2059" max="2059" width="15.7109375" customWidth="1"/>
    <col min="2060" max="2060" width="13.5703125" bestFit="1" customWidth="1"/>
    <col min="2305" max="2305" width="8.7109375" customWidth="1"/>
    <col min="2306" max="2306" width="53.42578125" customWidth="1"/>
    <col min="2307" max="2307" width="15.7109375" customWidth="1"/>
    <col min="2308" max="2308" width="15.85546875" customWidth="1"/>
    <col min="2309" max="2309" width="15.5703125" customWidth="1"/>
    <col min="2310" max="2310" width="17" customWidth="1"/>
    <col min="2311" max="2311" width="17.85546875" customWidth="1"/>
    <col min="2312" max="2312" width="14.5703125" customWidth="1"/>
    <col min="2313" max="2313" width="15.140625" customWidth="1"/>
    <col min="2314" max="2314" width="17.140625" customWidth="1"/>
    <col min="2315" max="2315" width="15.7109375" customWidth="1"/>
    <col min="2316" max="2316" width="13.5703125" bestFit="1" customWidth="1"/>
    <col min="2561" max="2561" width="8.7109375" customWidth="1"/>
    <col min="2562" max="2562" width="53.42578125" customWidth="1"/>
    <col min="2563" max="2563" width="15.7109375" customWidth="1"/>
    <col min="2564" max="2564" width="15.85546875" customWidth="1"/>
    <col min="2565" max="2565" width="15.5703125" customWidth="1"/>
    <col min="2566" max="2566" width="17" customWidth="1"/>
    <col min="2567" max="2567" width="17.85546875" customWidth="1"/>
    <col min="2568" max="2568" width="14.5703125" customWidth="1"/>
    <col min="2569" max="2569" width="15.140625" customWidth="1"/>
    <col min="2570" max="2570" width="17.140625" customWidth="1"/>
    <col min="2571" max="2571" width="15.7109375" customWidth="1"/>
    <col min="2572" max="2572" width="13.5703125" bestFit="1" customWidth="1"/>
    <col min="2817" max="2817" width="8.7109375" customWidth="1"/>
    <col min="2818" max="2818" width="53.42578125" customWidth="1"/>
    <col min="2819" max="2819" width="15.7109375" customWidth="1"/>
    <col min="2820" max="2820" width="15.85546875" customWidth="1"/>
    <col min="2821" max="2821" width="15.5703125" customWidth="1"/>
    <col min="2822" max="2822" width="17" customWidth="1"/>
    <col min="2823" max="2823" width="17.85546875" customWidth="1"/>
    <col min="2824" max="2824" width="14.5703125" customWidth="1"/>
    <col min="2825" max="2825" width="15.140625" customWidth="1"/>
    <col min="2826" max="2826" width="17.140625" customWidth="1"/>
    <col min="2827" max="2827" width="15.7109375" customWidth="1"/>
    <col min="2828" max="2828" width="13.5703125" bestFit="1" customWidth="1"/>
    <col min="3073" max="3073" width="8.7109375" customWidth="1"/>
    <col min="3074" max="3074" width="53.42578125" customWidth="1"/>
    <col min="3075" max="3075" width="15.7109375" customWidth="1"/>
    <col min="3076" max="3076" width="15.85546875" customWidth="1"/>
    <col min="3077" max="3077" width="15.5703125" customWidth="1"/>
    <col min="3078" max="3078" width="17" customWidth="1"/>
    <col min="3079" max="3079" width="17.85546875" customWidth="1"/>
    <col min="3080" max="3080" width="14.5703125" customWidth="1"/>
    <col min="3081" max="3081" width="15.140625" customWidth="1"/>
    <col min="3082" max="3082" width="17.140625" customWidth="1"/>
    <col min="3083" max="3083" width="15.7109375" customWidth="1"/>
    <col min="3084" max="3084" width="13.5703125" bestFit="1" customWidth="1"/>
    <col min="3329" max="3329" width="8.7109375" customWidth="1"/>
    <col min="3330" max="3330" width="53.42578125" customWidth="1"/>
    <col min="3331" max="3331" width="15.7109375" customWidth="1"/>
    <col min="3332" max="3332" width="15.85546875" customWidth="1"/>
    <col min="3333" max="3333" width="15.5703125" customWidth="1"/>
    <col min="3334" max="3334" width="17" customWidth="1"/>
    <col min="3335" max="3335" width="17.85546875" customWidth="1"/>
    <col min="3336" max="3336" width="14.5703125" customWidth="1"/>
    <col min="3337" max="3337" width="15.140625" customWidth="1"/>
    <col min="3338" max="3338" width="17.140625" customWidth="1"/>
    <col min="3339" max="3339" width="15.7109375" customWidth="1"/>
    <col min="3340" max="3340" width="13.5703125" bestFit="1" customWidth="1"/>
    <col min="3585" max="3585" width="8.7109375" customWidth="1"/>
    <col min="3586" max="3586" width="53.42578125" customWidth="1"/>
    <col min="3587" max="3587" width="15.7109375" customWidth="1"/>
    <col min="3588" max="3588" width="15.85546875" customWidth="1"/>
    <col min="3589" max="3589" width="15.5703125" customWidth="1"/>
    <col min="3590" max="3590" width="17" customWidth="1"/>
    <col min="3591" max="3591" width="17.85546875" customWidth="1"/>
    <col min="3592" max="3592" width="14.5703125" customWidth="1"/>
    <col min="3593" max="3593" width="15.140625" customWidth="1"/>
    <col min="3594" max="3594" width="17.140625" customWidth="1"/>
    <col min="3595" max="3595" width="15.7109375" customWidth="1"/>
    <col min="3596" max="3596" width="13.5703125" bestFit="1" customWidth="1"/>
    <col min="3841" max="3841" width="8.7109375" customWidth="1"/>
    <col min="3842" max="3842" width="53.42578125" customWidth="1"/>
    <col min="3843" max="3843" width="15.7109375" customWidth="1"/>
    <col min="3844" max="3844" width="15.85546875" customWidth="1"/>
    <col min="3845" max="3845" width="15.5703125" customWidth="1"/>
    <col min="3846" max="3846" width="17" customWidth="1"/>
    <col min="3847" max="3847" width="17.85546875" customWidth="1"/>
    <col min="3848" max="3848" width="14.5703125" customWidth="1"/>
    <col min="3849" max="3849" width="15.140625" customWidth="1"/>
    <col min="3850" max="3850" width="17.140625" customWidth="1"/>
    <col min="3851" max="3851" width="15.7109375" customWidth="1"/>
    <col min="3852" max="3852" width="13.5703125" bestFit="1" customWidth="1"/>
    <col min="4097" max="4097" width="8.7109375" customWidth="1"/>
    <col min="4098" max="4098" width="53.42578125" customWidth="1"/>
    <col min="4099" max="4099" width="15.7109375" customWidth="1"/>
    <col min="4100" max="4100" width="15.85546875" customWidth="1"/>
    <col min="4101" max="4101" width="15.5703125" customWidth="1"/>
    <col min="4102" max="4102" width="17" customWidth="1"/>
    <col min="4103" max="4103" width="17.85546875" customWidth="1"/>
    <col min="4104" max="4104" width="14.5703125" customWidth="1"/>
    <col min="4105" max="4105" width="15.140625" customWidth="1"/>
    <col min="4106" max="4106" width="17.140625" customWidth="1"/>
    <col min="4107" max="4107" width="15.7109375" customWidth="1"/>
    <col min="4108" max="4108" width="13.5703125" bestFit="1" customWidth="1"/>
    <col min="4353" max="4353" width="8.7109375" customWidth="1"/>
    <col min="4354" max="4354" width="53.42578125" customWidth="1"/>
    <col min="4355" max="4355" width="15.7109375" customWidth="1"/>
    <col min="4356" max="4356" width="15.85546875" customWidth="1"/>
    <col min="4357" max="4357" width="15.5703125" customWidth="1"/>
    <col min="4358" max="4358" width="17" customWidth="1"/>
    <col min="4359" max="4359" width="17.85546875" customWidth="1"/>
    <col min="4360" max="4360" width="14.5703125" customWidth="1"/>
    <col min="4361" max="4361" width="15.140625" customWidth="1"/>
    <col min="4362" max="4362" width="17.140625" customWidth="1"/>
    <col min="4363" max="4363" width="15.7109375" customWidth="1"/>
    <col min="4364" max="4364" width="13.5703125" bestFit="1" customWidth="1"/>
    <col min="4609" max="4609" width="8.7109375" customWidth="1"/>
    <col min="4610" max="4610" width="53.42578125" customWidth="1"/>
    <col min="4611" max="4611" width="15.7109375" customWidth="1"/>
    <col min="4612" max="4612" width="15.85546875" customWidth="1"/>
    <col min="4613" max="4613" width="15.5703125" customWidth="1"/>
    <col min="4614" max="4614" width="17" customWidth="1"/>
    <col min="4615" max="4615" width="17.85546875" customWidth="1"/>
    <col min="4616" max="4616" width="14.5703125" customWidth="1"/>
    <col min="4617" max="4617" width="15.140625" customWidth="1"/>
    <col min="4618" max="4618" width="17.140625" customWidth="1"/>
    <col min="4619" max="4619" width="15.7109375" customWidth="1"/>
    <col min="4620" max="4620" width="13.5703125" bestFit="1" customWidth="1"/>
    <col min="4865" max="4865" width="8.7109375" customWidth="1"/>
    <col min="4866" max="4866" width="53.42578125" customWidth="1"/>
    <col min="4867" max="4867" width="15.7109375" customWidth="1"/>
    <col min="4868" max="4868" width="15.85546875" customWidth="1"/>
    <col min="4869" max="4869" width="15.5703125" customWidth="1"/>
    <col min="4870" max="4870" width="17" customWidth="1"/>
    <col min="4871" max="4871" width="17.85546875" customWidth="1"/>
    <col min="4872" max="4872" width="14.5703125" customWidth="1"/>
    <col min="4873" max="4873" width="15.140625" customWidth="1"/>
    <col min="4874" max="4874" width="17.140625" customWidth="1"/>
    <col min="4875" max="4875" width="15.7109375" customWidth="1"/>
    <col min="4876" max="4876" width="13.5703125" bestFit="1" customWidth="1"/>
    <col min="5121" max="5121" width="8.7109375" customWidth="1"/>
    <col min="5122" max="5122" width="53.42578125" customWidth="1"/>
    <col min="5123" max="5123" width="15.7109375" customWidth="1"/>
    <col min="5124" max="5124" width="15.85546875" customWidth="1"/>
    <col min="5125" max="5125" width="15.5703125" customWidth="1"/>
    <col min="5126" max="5126" width="17" customWidth="1"/>
    <col min="5127" max="5127" width="17.85546875" customWidth="1"/>
    <col min="5128" max="5128" width="14.5703125" customWidth="1"/>
    <col min="5129" max="5129" width="15.140625" customWidth="1"/>
    <col min="5130" max="5130" width="17.140625" customWidth="1"/>
    <col min="5131" max="5131" width="15.7109375" customWidth="1"/>
    <col min="5132" max="5132" width="13.5703125" bestFit="1" customWidth="1"/>
    <col min="5377" max="5377" width="8.7109375" customWidth="1"/>
    <col min="5378" max="5378" width="53.42578125" customWidth="1"/>
    <col min="5379" max="5379" width="15.7109375" customWidth="1"/>
    <col min="5380" max="5380" width="15.85546875" customWidth="1"/>
    <col min="5381" max="5381" width="15.5703125" customWidth="1"/>
    <col min="5382" max="5382" width="17" customWidth="1"/>
    <col min="5383" max="5383" width="17.85546875" customWidth="1"/>
    <col min="5384" max="5384" width="14.5703125" customWidth="1"/>
    <col min="5385" max="5385" width="15.140625" customWidth="1"/>
    <col min="5386" max="5386" width="17.140625" customWidth="1"/>
    <col min="5387" max="5387" width="15.7109375" customWidth="1"/>
    <col min="5388" max="5388" width="13.5703125" bestFit="1" customWidth="1"/>
    <col min="5633" max="5633" width="8.7109375" customWidth="1"/>
    <col min="5634" max="5634" width="53.42578125" customWidth="1"/>
    <col min="5635" max="5635" width="15.7109375" customWidth="1"/>
    <col min="5636" max="5636" width="15.85546875" customWidth="1"/>
    <col min="5637" max="5637" width="15.5703125" customWidth="1"/>
    <col min="5638" max="5638" width="17" customWidth="1"/>
    <col min="5639" max="5639" width="17.85546875" customWidth="1"/>
    <col min="5640" max="5640" width="14.5703125" customWidth="1"/>
    <col min="5641" max="5641" width="15.140625" customWidth="1"/>
    <col min="5642" max="5642" width="17.140625" customWidth="1"/>
    <col min="5643" max="5643" width="15.7109375" customWidth="1"/>
    <col min="5644" max="5644" width="13.5703125" bestFit="1" customWidth="1"/>
    <col min="5889" max="5889" width="8.7109375" customWidth="1"/>
    <col min="5890" max="5890" width="53.42578125" customWidth="1"/>
    <col min="5891" max="5891" width="15.7109375" customWidth="1"/>
    <col min="5892" max="5892" width="15.85546875" customWidth="1"/>
    <col min="5893" max="5893" width="15.5703125" customWidth="1"/>
    <col min="5894" max="5894" width="17" customWidth="1"/>
    <col min="5895" max="5895" width="17.85546875" customWidth="1"/>
    <col min="5896" max="5896" width="14.5703125" customWidth="1"/>
    <col min="5897" max="5897" width="15.140625" customWidth="1"/>
    <col min="5898" max="5898" width="17.140625" customWidth="1"/>
    <col min="5899" max="5899" width="15.7109375" customWidth="1"/>
    <col min="5900" max="5900" width="13.5703125" bestFit="1" customWidth="1"/>
    <col min="6145" max="6145" width="8.7109375" customWidth="1"/>
    <col min="6146" max="6146" width="53.42578125" customWidth="1"/>
    <col min="6147" max="6147" width="15.7109375" customWidth="1"/>
    <col min="6148" max="6148" width="15.85546875" customWidth="1"/>
    <col min="6149" max="6149" width="15.5703125" customWidth="1"/>
    <col min="6150" max="6150" width="17" customWidth="1"/>
    <col min="6151" max="6151" width="17.85546875" customWidth="1"/>
    <col min="6152" max="6152" width="14.5703125" customWidth="1"/>
    <col min="6153" max="6153" width="15.140625" customWidth="1"/>
    <col min="6154" max="6154" width="17.140625" customWidth="1"/>
    <col min="6155" max="6155" width="15.7109375" customWidth="1"/>
    <col min="6156" max="6156" width="13.5703125" bestFit="1" customWidth="1"/>
    <col min="6401" max="6401" width="8.7109375" customWidth="1"/>
    <col min="6402" max="6402" width="53.42578125" customWidth="1"/>
    <col min="6403" max="6403" width="15.7109375" customWidth="1"/>
    <col min="6404" max="6404" width="15.85546875" customWidth="1"/>
    <col min="6405" max="6405" width="15.5703125" customWidth="1"/>
    <col min="6406" max="6406" width="17" customWidth="1"/>
    <col min="6407" max="6407" width="17.85546875" customWidth="1"/>
    <col min="6408" max="6408" width="14.5703125" customWidth="1"/>
    <col min="6409" max="6409" width="15.140625" customWidth="1"/>
    <col min="6410" max="6410" width="17.140625" customWidth="1"/>
    <col min="6411" max="6411" width="15.7109375" customWidth="1"/>
    <col min="6412" max="6412" width="13.5703125" bestFit="1" customWidth="1"/>
    <col min="6657" max="6657" width="8.7109375" customWidth="1"/>
    <col min="6658" max="6658" width="53.42578125" customWidth="1"/>
    <col min="6659" max="6659" width="15.7109375" customWidth="1"/>
    <col min="6660" max="6660" width="15.85546875" customWidth="1"/>
    <col min="6661" max="6661" width="15.5703125" customWidth="1"/>
    <col min="6662" max="6662" width="17" customWidth="1"/>
    <col min="6663" max="6663" width="17.85546875" customWidth="1"/>
    <col min="6664" max="6664" width="14.5703125" customWidth="1"/>
    <col min="6665" max="6665" width="15.140625" customWidth="1"/>
    <col min="6666" max="6666" width="17.140625" customWidth="1"/>
    <col min="6667" max="6667" width="15.7109375" customWidth="1"/>
    <col min="6668" max="6668" width="13.5703125" bestFit="1" customWidth="1"/>
    <col min="6913" max="6913" width="8.7109375" customWidth="1"/>
    <col min="6914" max="6914" width="53.42578125" customWidth="1"/>
    <col min="6915" max="6915" width="15.7109375" customWidth="1"/>
    <col min="6916" max="6916" width="15.85546875" customWidth="1"/>
    <col min="6917" max="6917" width="15.5703125" customWidth="1"/>
    <col min="6918" max="6918" width="17" customWidth="1"/>
    <col min="6919" max="6919" width="17.85546875" customWidth="1"/>
    <col min="6920" max="6920" width="14.5703125" customWidth="1"/>
    <col min="6921" max="6921" width="15.140625" customWidth="1"/>
    <col min="6922" max="6922" width="17.140625" customWidth="1"/>
    <col min="6923" max="6923" width="15.7109375" customWidth="1"/>
    <col min="6924" max="6924" width="13.5703125" bestFit="1" customWidth="1"/>
    <col min="7169" max="7169" width="8.7109375" customWidth="1"/>
    <col min="7170" max="7170" width="53.42578125" customWidth="1"/>
    <col min="7171" max="7171" width="15.7109375" customWidth="1"/>
    <col min="7172" max="7172" width="15.85546875" customWidth="1"/>
    <col min="7173" max="7173" width="15.5703125" customWidth="1"/>
    <col min="7174" max="7174" width="17" customWidth="1"/>
    <col min="7175" max="7175" width="17.85546875" customWidth="1"/>
    <col min="7176" max="7176" width="14.5703125" customWidth="1"/>
    <col min="7177" max="7177" width="15.140625" customWidth="1"/>
    <col min="7178" max="7178" width="17.140625" customWidth="1"/>
    <col min="7179" max="7179" width="15.7109375" customWidth="1"/>
    <col min="7180" max="7180" width="13.5703125" bestFit="1" customWidth="1"/>
    <col min="7425" max="7425" width="8.7109375" customWidth="1"/>
    <col min="7426" max="7426" width="53.42578125" customWidth="1"/>
    <col min="7427" max="7427" width="15.7109375" customWidth="1"/>
    <col min="7428" max="7428" width="15.85546875" customWidth="1"/>
    <col min="7429" max="7429" width="15.5703125" customWidth="1"/>
    <col min="7430" max="7430" width="17" customWidth="1"/>
    <col min="7431" max="7431" width="17.85546875" customWidth="1"/>
    <col min="7432" max="7432" width="14.5703125" customWidth="1"/>
    <col min="7433" max="7433" width="15.140625" customWidth="1"/>
    <col min="7434" max="7434" width="17.140625" customWidth="1"/>
    <col min="7435" max="7435" width="15.7109375" customWidth="1"/>
    <col min="7436" max="7436" width="13.5703125" bestFit="1" customWidth="1"/>
    <col min="7681" max="7681" width="8.7109375" customWidth="1"/>
    <col min="7682" max="7682" width="53.42578125" customWidth="1"/>
    <col min="7683" max="7683" width="15.7109375" customWidth="1"/>
    <col min="7684" max="7684" width="15.85546875" customWidth="1"/>
    <col min="7685" max="7685" width="15.5703125" customWidth="1"/>
    <col min="7686" max="7686" width="17" customWidth="1"/>
    <col min="7687" max="7687" width="17.85546875" customWidth="1"/>
    <col min="7688" max="7688" width="14.5703125" customWidth="1"/>
    <col min="7689" max="7689" width="15.140625" customWidth="1"/>
    <col min="7690" max="7690" width="17.140625" customWidth="1"/>
    <col min="7691" max="7691" width="15.7109375" customWidth="1"/>
    <col min="7692" max="7692" width="13.5703125" bestFit="1" customWidth="1"/>
    <col min="7937" max="7937" width="8.7109375" customWidth="1"/>
    <col min="7938" max="7938" width="53.42578125" customWidth="1"/>
    <col min="7939" max="7939" width="15.7109375" customWidth="1"/>
    <col min="7940" max="7940" width="15.85546875" customWidth="1"/>
    <col min="7941" max="7941" width="15.5703125" customWidth="1"/>
    <col min="7942" max="7942" width="17" customWidth="1"/>
    <col min="7943" max="7943" width="17.85546875" customWidth="1"/>
    <col min="7944" max="7944" width="14.5703125" customWidth="1"/>
    <col min="7945" max="7945" width="15.140625" customWidth="1"/>
    <col min="7946" max="7946" width="17.140625" customWidth="1"/>
    <col min="7947" max="7947" width="15.7109375" customWidth="1"/>
    <col min="7948" max="7948" width="13.5703125" bestFit="1" customWidth="1"/>
    <col min="8193" max="8193" width="8.7109375" customWidth="1"/>
    <col min="8194" max="8194" width="53.42578125" customWidth="1"/>
    <col min="8195" max="8195" width="15.7109375" customWidth="1"/>
    <col min="8196" max="8196" width="15.85546875" customWidth="1"/>
    <col min="8197" max="8197" width="15.5703125" customWidth="1"/>
    <col min="8198" max="8198" width="17" customWidth="1"/>
    <col min="8199" max="8199" width="17.85546875" customWidth="1"/>
    <col min="8200" max="8200" width="14.5703125" customWidth="1"/>
    <col min="8201" max="8201" width="15.140625" customWidth="1"/>
    <col min="8202" max="8202" width="17.140625" customWidth="1"/>
    <col min="8203" max="8203" width="15.7109375" customWidth="1"/>
    <col min="8204" max="8204" width="13.5703125" bestFit="1" customWidth="1"/>
    <col min="8449" max="8449" width="8.7109375" customWidth="1"/>
    <col min="8450" max="8450" width="53.42578125" customWidth="1"/>
    <col min="8451" max="8451" width="15.7109375" customWidth="1"/>
    <col min="8452" max="8452" width="15.85546875" customWidth="1"/>
    <col min="8453" max="8453" width="15.5703125" customWidth="1"/>
    <col min="8454" max="8454" width="17" customWidth="1"/>
    <col min="8455" max="8455" width="17.85546875" customWidth="1"/>
    <col min="8456" max="8456" width="14.5703125" customWidth="1"/>
    <col min="8457" max="8457" width="15.140625" customWidth="1"/>
    <col min="8458" max="8458" width="17.140625" customWidth="1"/>
    <col min="8459" max="8459" width="15.7109375" customWidth="1"/>
    <col min="8460" max="8460" width="13.5703125" bestFit="1" customWidth="1"/>
    <col min="8705" max="8705" width="8.7109375" customWidth="1"/>
    <col min="8706" max="8706" width="53.42578125" customWidth="1"/>
    <col min="8707" max="8707" width="15.7109375" customWidth="1"/>
    <col min="8708" max="8708" width="15.85546875" customWidth="1"/>
    <col min="8709" max="8709" width="15.5703125" customWidth="1"/>
    <col min="8710" max="8710" width="17" customWidth="1"/>
    <col min="8711" max="8711" width="17.85546875" customWidth="1"/>
    <col min="8712" max="8712" width="14.5703125" customWidth="1"/>
    <col min="8713" max="8713" width="15.140625" customWidth="1"/>
    <col min="8714" max="8714" width="17.140625" customWidth="1"/>
    <col min="8715" max="8715" width="15.7109375" customWidth="1"/>
    <col min="8716" max="8716" width="13.5703125" bestFit="1" customWidth="1"/>
    <col min="8961" max="8961" width="8.7109375" customWidth="1"/>
    <col min="8962" max="8962" width="53.42578125" customWidth="1"/>
    <col min="8963" max="8963" width="15.7109375" customWidth="1"/>
    <col min="8964" max="8964" width="15.85546875" customWidth="1"/>
    <col min="8965" max="8965" width="15.5703125" customWidth="1"/>
    <col min="8966" max="8966" width="17" customWidth="1"/>
    <col min="8967" max="8967" width="17.85546875" customWidth="1"/>
    <col min="8968" max="8968" width="14.5703125" customWidth="1"/>
    <col min="8969" max="8969" width="15.140625" customWidth="1"/>
    <col min="8970" max="8970" width="17.140625" customWidth="1"/>
    <col min="8971" max="8971" width="15.7109375" customWidth="1"/>
    <col min="8972" max="8972" width="13.5703125" bestFit="1" customWidth="1"/>
    <col min="9217" max="9217" width="8.7109375" customWidth="1"/>
    <col min="9218" max="9218" width="53.42578125" customWidth="1"/>
    <col min="9219" max="9219" width="15.7109375" customWidth="1"/>
    <col min="9220" max="9220" width="15.85546875" customWidth="1"/>
    <col min="9221" max="9221" width="15.5703125" customWidth="1"/>
    <col min="9222" max="9222" width="17" customWidth="1"/>
    <col min="9223" max="9223" width="17.85546875" customWidth="1"/>
    <col min="9224" max="9224" width="14.5703125" customWidth="1"/>
    <col min="9225" max="9225" width="15.140625" customWidth="1"/>
    <col min="9226" max="9226" width="17.140625" customWidth="1"/>
    <col min="9227" max="9227" width="15.7109375" customWidth="1"/>
    <col min="9228" max="9228" width="13.5703125" bestFit="1" customWidth="1"/>
    <col min="9473" max="9473" width="8.7109375" customWidth="1"/>
    <col min="9474" max="9474" width="53.42578125" customWidth="1"/>
    <col min="9475" max="9475" width="15.7109375" customWidth="1"/>
    <col min="9476" max="9476" width="15.85546875" customWidth="1"/>
    <col min="9477" max="9477" width="15.5703125" customWidth="1"/>
    <col min="9478" max="9478" width="17" customWidth="1"/>
    <col min="9479" max="9479" width="17.85546875" customWidth="1"/>
    <col min="9480" max="9480" width="14.5703125" customWidth="1"/>
    <col min="9481" max="9481" width="15.140625" customWidth="1"/>
    <col min="9482" max="9482" width="17.140625" customWidth="1"/>
    <col min="9483" max="9483" width="15.7109375" customWidth="1"/>
    <col min="9484" max="9484" width="13.5703125" bestFit="1" customWidth="1"/>
    <col min="9729" max="9729" width="8.7109375" customWidth="1"/>
    <col min="9730" max="9730" width="53.42578125" customWidth="1"/>
    <col min="9731" max="9731" width="15.7109375" customWidth="1"/>
    <col min="9732" max="9732" width="15.85546875" customWidth="1"/>
    <col min="9733" max="9733" width="15.5703125" customWidth="1"/>
    <col min="9734" max="9734" width="17" customWidth="1"/>
    <col min="9735" max="9735" width="17.85546875" customWidth="1"/>
    <col min="9736" max="9736" width="14.5703125" customWidth="1"/>
    <col min="9737" max="9737" width="15.140625" customWidth="1"/>
    <col min="9738" max="9738" width="17.140625" customWidth="1"/>
    <col min="9739" max="9739" width="15.7109375" customWidth="1"/>
    <col min="9740" max="9740" width="13.5703125" bestFit="1" customWidth="1"/>
    <col min="9985" max="9985" width="8.7109375" customWidth="1"/>
    <col min="9986" max="9986" width="53.42578125" customWidth="1"/>
    <col min="9987" max="9987" width="15.7109375" customWidth="1"/>
    <col min="9988" max="9988" width="15.85546875" customWidth="1"/>
    <col min="9989" max="9989" width="15.5703125" customWidth="1"/>
    <col min="9990" max="9990" width="17" customWidth="1"/>
    <col min="9991" max="9991" width="17.85546875" customWidth="1"/>
    <col min="9992" max="9992" width="14.5703125" customWidth="1"/>
    <col min="9993" max="9993" width="15.140625" customWidth="1"/>
    <col min="9994" max="9994" width="17.140625" customWidth="1"/>
    <col min="9995" max="9995" width="15.7109375" customWidth="1"/>
    <col min="9996" max="9996" width="13.5703125" bestFit="1" customWidth="1"/>
    <col min="10241" max="10241" width="8.7109375" customWidth="1"/>
    <col min="10242" max="10242" width="53.42578125" customWidth="1"/>
    <col min="10243" max="10243" width="15.7109375" customWidth="1"/>
    <col min="10244" max="10244" width="15.85546875" customWidth="1"/>
    <col min="10245" max="10245" width="15.5703125" customWidth="1"/>
    <col min="10246" max="10246" width="17" customWidth="1"/>
    <col min="10247" max="10247" width="17.85546875" customWidth="1"/>
    <col min="10248" max="10248" width="14.5703125" customWidth="1"/>
    <col min="10249" max="10249" width="15.140625" customWidth="1"/>
    <col min="10250" max="10250" width="17.140625" customWidth="1"/>
    <col min="10251" max="10251" width="15.7109375" customWidth="1"/>
    <col min="10252" max="10252" width="13.5703125" bestFit="1" customWidth="1"/>
    <col min="10497" max="10497" width="8.7109375" customWidth="1"/>
    <col min="10498" max="10498" width="53.42578125" customWidth="1"/>
    <col min="10499" max="10499" width="15.7109375" customWidth="1"/>
    <col min="10500" max="10500" width="15.85546875" customWidth="1"/>
    <col min="10501" max="10501" width="15.5703125" customWidth="1"/>
    <col min="10502" max="10502" width="17" customWidth="1"/>
    <col min="10503" max="10503" width="17.85546875" customWidth="1"/>
    <col min="10504" max="10504" width="14.5703125" customWidth="1"/>
    <col min="10505" max="10505" width="15.140625" customWidth="1"/>
    <col min="10506" max="10506" width="17.140625" customWidth="1"/>
    <col min="10507" max="10507" width="15.7109375" customWidth="1"/>
    <col min="10508" max="10508" width="13.5703125" bestFit="1" customWidth="1"/>
    <col min="10753" max="10753" width="8.7109375" customWidth="1"/>
    <col min="10754" max="10754" width="53.42578125" customWidth="1"/>
    <col min="10755" max="10755" width="15.7109375" customWidth="1"/>
    <col min="10756" max="10756" width="15.85546875" customWidth="1"/>
    <col min="10757" max="10757" width="15.5703125" customWidth="1"/>
    <col min="10758" max="10758" width="17" customWidth="1"/>
    <col min="10759" max="10759" width="17.85546875" customWidth="1"/>
    <col min="10760" max="10760" width="14.5703125" customWidth="1"/>
    <col min="10761" max="10761" width="15.140625" customWidth="1"/>
    <col min="10762" max="10762" width="17.140625" customWidth="1"/>
    <col min="10763" max="10763" width="15.7109375" customWidth="1"/>
    <col min="10764" max="10764" width="13.5703125" bestFit="1" customWidth="1"/>
    <col min="11009" max="11009" width="8.7109375" customWidth="1"/>
    <col min="11010" max="11010" width="53.42578125" customWidth="1"/>
    <col min="11011" max="11011" width="15.7109375" customWidth="1"/>
    <col min="11012" max="11012" width="15.85546875" customWidth="1"/>
    <col min="11013" max="11013" width="15.5703125" customWidth="1"/>
    <col min="11014" max="11014" width="17" customWidth="1"/>
    <col min="11015" max="11015" width="17.85546875" customWidth="1"/>
    <col min="11016" max="11016" width="14.5703125" customWidth="1"/>
    <col min="11017" max="11017" width="15.140625" customWidth="1"/>
    <col min="11018" max="11018" width="17.140625" customWidth="1"/>
    <col min="11019" max="11019" width="15.7109375" customWidth="1"/>
    <col min="11020" max="11020" width="13.5703125" bestFit="1" customWidth="1"/>
    <col min="11265" max="11265" width="8.7109375" customWidth="1"/>
    <col min="11266" max="11266" width="53.42578125" customWidth="1"/>
    <col min="11267" max="11267" width="15.7109375" customWidth="1"/>
    <col min="11268" max="11268" width="15.85546875" customWidth="1"/>
    <col min="11269" max="11269" width="15.5703125" customWidth="1"/>
    <col min="11270" max="11270" width="17" customWidth="1"/>
    <col min="11271" max="11271" width="17.85546875" customWidth="1"/>
    <col min="11272" max="11272" width="14.5703125" customWidth="1"/>
    <col min="11273" max="11273" width="15.140625" customWidth="1"/>
    <col min="11274" max="11274" width="17.140625" customWidth="1"/>
    <col min="11275" max="11275" width="15.7109375" customWidth="1"/>
    <col min="11276" max="11276" width="13.5703125" bestFit="1" customWidth="1"/>
    <col min="11521" max="11521" width="8.7109375" customWidth="1"/>
    <col min="11522" max="11522" width="53.42578125" customWidth="1"/>
    <col min="11523" max="11523" width="15.7109375" customWidth="1"/>
    <col min="11524" max="11524" width="15.85546875" customWidth="1"/>
    <col min="11525" max="11525" width="15.5703125" customWidth="1"/>
    <col min="11526" max="11526" width="17" customWidth="1"/>
    <col min="11527" max="11527" width="17.85546875" customWidth="1"/>
    <col min="11528" max="11528" width="14.5703125" customWidth="1"/>
    <col min="11529" max="11529" width="15.140625" customWidth="1"/>
    <col min="11530" max="11530" width="17.140625" customWidth="1"/>
    <col min="11531" max="11531" width="15.7109375" customWidth="1"/>
    <col min="11532" max="11532" width="13.5703125" bestFit="1" customWidth="1"/>
    <col min="11777" max="11777" width="8.7109375" customWidth="1"/>
    <col min="11778" max="11778" width="53.42578125" customWidth="1"/>
    <col min="11779" max="11779" width="15.7109375" customWidth="1"/>
    <col min="11780" max="11780" width="15.85546875" customWidth="1"/>
    <col min="11781" max="11781" width="15.5703125" customWidth="1"/>
    <col min="11782" max="11782" width="17" customWidth="1"/>
    <col min="11783" max="11783" width="17.85546875" customWidth="1"/>
    <col min="11784" max="11784" width="14.5703125" customWidth="1"/>
    <col min="11785" max="11785" width="15.140625" customWidth="1"/>
    <col min="11786" max="11786" width="17.140625" customWidth="1"/>
    <col min="11787" max="11787" width="15.7109375" customWidth="1"/>
    <col min="11788" max="11788" width="13.5703125" bestFit="1" customWidth="1"/>
    <col min="12033" max="12033" width="8.7109375" customWidth="1"/>
    <col min="12034" max="12034" width="53.42578125" customWidth="1"/>
    <col min="12035" max="12035" width="15.7109375" customWidth="1"/>
    <col min="12036" max="12036" width="15.85546875" customWidth="1"/>
    <col min="12037" max="12037" width="15.5703125" customWidth="1"/>
    <col min="12038" max="12038" width="17" customWidth="1"/>
    <col min="12039" max="12039" width="17.85546875" customWidth="1"/>
    <col min="12040" max="12040" width="14.5703125" customWidth="1"/>
    <col min="12041" max="12041" width="15.140625" customWidth="1"/>
    <col min="12042" max="12042" width="17.140625" customWidth="1"/>
    <col min="12043" max="12043" width="15.7109375" customWidth="1"/>
    <col min="12044" max="12044" width="13.5703125" bestFit="1" customWidth="1"/>
    <col min="12289" max="12289" width="8.7109375" customWidth="1"/>
    <col min="12290" max="12290" width="53.42578125" customWidth="1"/>
    <col min="12291" max="12291" width="15.7109375" customWidth="1"/>
    <col min="12292" max="12292" width="15.85546875" customWidth="1"/>
    <col min="12293" max="12293" width="15.5703125" customWidth="1"/>
    <col min="12294" max="12294" width="17" customWidth="1"/>
    <col min="12295" max="12295" width="17.85546875" customWidth="1"/>
    <col min="12296" max="12296" width="14.5703125" customWidth="1"/>
    <col min="12297" max="12297" width="15.140625" customWidth="1"/>
    <col min="12298" max="12298" width="17.140625" customWidth="1"/>
    <col min="12299" max="12299" width="15.7109375" customWidth="1"/>
    <col min="12300" max="12300" width="13.5703125" bestFit="1" customWidth="1"/>
    <col min="12545" max="12545" width="8.7109375" customWidth="1"/>
    <col min="12546" max="12546" width="53.42578125" customWidth="1"/>
    <col min="12547" max="12547" width="15.7109375" customWidth="1"/>
    <col min="12548" max="12548" width="15.85546875" customWidth="1"/>
    <col min="12549" max="12549" width="15.5703125" customWidth="1"/>
    <col min="12550" max="12550" width="17" customWidth="1"/>
    <col min="12551" max="12551" width="17.85546875" customWidth="1"/>
    <col min="12552" max="12552" width="14.5703125" customWidth="1"/>
    <col min="12553" max="12553" width="15.140625" customWidth="1"/>
    <col min="12554" max="12554" width="17.140625" customWidth="1"/>
    <col min="12555" max="12555" width="15.7109375" customWidth="1"/>
    <col min="12556" max="12556" width="13.5703125" bestFit="1" customWidth="1"/>
    <col min="12801" max="12801" width="8.7109375" customWidth="1"/>
    <col min="12802" max="12802" width="53.42578125" customWidth="1"/>
    <col min="12803" max="12803" width="15.7109375" customWidth="1"/>
    <col min="12804" max="12804" width="15.85546875" customWidth="1"/>
    <col min="12805" max="12805" width="15.5703125" customWidth="1"/>
    <col min="12806" max="12806" width="17" customWidth="1"/>
    <col min="12807" max="12807" width="17.85546875" customWidth="1"/>
    <col min="12808" max="12808" width="14.5703125" customWidth="1"/>
    <col min="12809" max="12809" width="15.140625" customWidth="1"/>
    <col min="12810" max="12810" width="17.140625" customWidth="1"/>
    <col min="12811" max="12811" width="15.7109375" customWidth="1"/>
    <col min="12812" max="12812" width="13.5703125" bestFit="1" customWidth="1"/>
    <col min="13057" max="13057" width="8.7109375" customWidth="1"/>
    <col min="13058" max="13058" width="53.42578125" customWidth="1"/>
    <col min="13059" max="13059" width="15.7109375" customWidth="1"/>
    <col min="13060" max="13060" width="15.85546875" customWidth="1"/>
    <col min="13061" max="13061" width="15.5703125" customWidth="1"/>
    <col min="13062" max="13062" width="17" customWidth="1"/>
    <col min="13063" max="13063" width="17.85546875" customWidth="1"/>
    <col min="13064" max="13064" width="14.5703125" customWidth="1"/>
    <col min="13065" max="13065" width="15.140625" customWidth="1"/>
    <col min="13066" max="13066" width="17.140625" customWidth="1"/>
    <col min="13067" max="13067" width="15.7109375" customWidth="1"/>
    <col min="13068" max="13068" width="13.5703125" bestFit="1" customWidth="1"/>
    <col min="13313" max="13313" width="8.7109375" customWidth="1"/>
    <col min="13314" max="13314" width="53.42578125" customWidth="1"/>
    <col min="13315" max="13315" width="15.7109375" customWidth="1"/>
    <col min="13316" max="13316" width="15.85546875" customWidth="1"/>
    <col min="13317" max="13317" width="15.5703125" customWidth="1"/>
    <col min="13318" max="13318" width="17" customWidth="1"/>
    <col min="13319" max="13319" width="17.85546875" customWidth="1"/>
    <col min="13320" max="13320" width="14.5703125" customWidth="1"/>
    <col min="13321" max="13321" width="15.140625" customWidth="1"/>
    <col min="13322" max="13322" width="17.140625" customWidth="1"/>
    <col min="13323" max="13323" width="15.7109375" customWidth="1"/>
    <col min="13324" max="13324" width="13.5703125" bestFit="1" customWidth="1"/>
    <col min="13569" max="13569" width="8.7109375" customWidth="1"/>
    <col min="13570" max="13570" width="53.42578125" customWidth="1"/>
    <col min="13571" max="13571" width="15.7109375" customWidth="1"/>
    <col min="13572" max="13572" width="15.85546875" customWidth="1"/>
    <col min="13573" max="13573" width="15.5703125" customWidth="1"/>
    <col min="13574" max="13574" width="17" customWidth="1"/>
    <col min="13575" max="13575" width="17.85546875" customWidth="1"/>
    <col min="13576" max="13576" width="14.5703125" customWidth="1"/>
    <col min="13577" max="13577" width="15.140625" customWidth="1"/>
    <col min="13578" max="13578" width="17.140625" customWidth="1"/>
    <col min="13579" max="13579" width="15.7109375" customWidth="1"/>
    <col min="13580" max="13580" width="13.5703125" bestFit="1" customWidth="1"/>
    <col min="13825" max="13825" width="8.7109375" customWidth="1"/>
    <col min="13826" max="13826" width="53.42578125" customWidth="1"/>
    <col min="13827" max="13827" width="15.7109375" customWidth="1"/>
    <col min="13828" max="13828" width="15.85546875" customWidth="1"/>
    <col min="13829" max="13829" width="15.5703125" customWidth="1"/>
    <col min="13830" max="13830" width="17" customWidth="1"/>
    <col min="13831" max="13831" width="17.85546875" customWidth="1"/>
    <col min="13832" max="13832" width="14.5703125" customWidth="1"/>
    <col min="13833" max="13833" width="15.140625" customWidth="1"/>
    <col min="13834" max="13834" width="17.140625" customWidth="1"/>
    <col min="13835" max="13835" width="15.7109375" customWidth="1"/>
    <col min="13836" max="13836" width="13.5703125" bestFit="1" customWidth="1"/>
    <col min="14081" max="14081" width="8.7109375" customWidth="1"/>
    <col min="14082" max="14082" width="53.42578125" customWidth="1"/>
    <col min="14083" max="14083" width="15.7109375" customWidth="1"/>
    <col min="14084" max="14084" width="15.85546875" customWidth="1"/>
    <col min="14085" max="14085" width="15.5703125" customWidth="1"/>
    <col min="14086" max="14086" width="17" customWidth="1"/>
    <col min="14087" max="14087" width="17.85546875" customWidth="1"/>
    <col min="14088" max="14088" width="14.5703125" customWidth="1"/>
    <col min="14089" max="14089" width="15.140625" customWidth="1"/>
    <col min="14090" max="14090" width="17.140625" customWidth="1"/>
    <col min="14091" max="14091" width="15.7109375" customWidth="1"/>
    <col min="14092" max="14092" width="13.5703125" bestFit="1" customWidth="1"/>
    <col min="14337" max="14337" width="8.7109375" customWidth="1"/>
    <col min="14338" max="14338" width="53.42578125" customWidth="1"/>
    <col min="14339" max="14339" width="15.7109375" customWidth="1"/>
    <col min="14340" max="14340" width="15.85546875" customWidth="1"/>
    <col min="14341" max="14341" width="15.5703125" customWidth="1"/>
    <col min="14342" max="14342" width="17" customWidth="1"/>
    <col min="14343" max="14343" width="17.85546875" customWidth="1"/>
    <col min="14344" max="14344" width="14.5703125" customWidth="1"/>
    <col min="14345" max="14345" width="15.140625" customWidth="1"/>
    <col min="14346" max="14346" width="17.140625" customWidth="1"/>
    <col min="14347" max="14347" width="15.7109375" customWidth="1"/>
    <col min="14348" max="14348" width="13.5703125" bestFit="1" customWidth="1"/>
    <col min="14593" max="14593" width="8.7109375" customWidth="1"/>
    <col min="14594" max="14594" width="53.42578125" customWidth="1"/>
    <col min="14595" max="14595" width="15.7109375" customWidth="1"/>
    <col min="14596" max="14596" width="15.85546875" customWidth="1"/>
    <col min="14597" max="14597" width="15.5703125" customWidth="1"/>
    <col min="14598" max="14598" width="17" customWidth="1"/>
    <col min="14599" max="14599" width="17.85546875" customWidth="1"/>
    <col min="14600" max="14600" width="14.5703125" customWidth="1"/>
    <col min="14601" max="14601" width="15.140625" customWidth="1"/>
    <col min="14602" max="14602" width="17.140625" customWidth="1"/>
    <col min="14603" max="14603" width="15.7109375" customWidth="1"/>
    <col min="14604" max="14604" width="13.5703125" bestFit="1" customWidth="1"/>
    <col min="14849" max="14849" width="8.7109375" customWidth="1"/>
    <col min="14850" max="14850" width="53.42578125" customWidth="1"/>
    <col min="14851" max="14851" width="15.7109375" customWidth="1"/>
    <col min="14852" max="14852" width="15.85546875" customWidth="1"/>
    <col min="14853" max="14853" width="15.5703125" customWidth="1"/>
    <col min="14854" max="14854" width="17" customWidth="1"/>
    <col min="14855" max="14855" width="17.85546875" customWidth="1"/>
    <col min="14856" max="14856" width="14.5703125" customWidth="1"/>
    <col min="14857" max="14857" width="15.140625" customWidth="1"/>
    <col min="14858" max="14858" width="17.140625" customWidth="1"/>
    <col min="14859" max="14859" width="15.7109375" customWidth="1"/>
    <col min="14860" max="14860" width="13.5703125" bestFit="1" customWidth="1"/>
    <col min="15105" max="15105" width="8.7109375" customWidth="1"/>
    <col min="15106" max="15106" width="53.42578125" customWidth="1"/>
    <col min="15107" max="15107" width="15.7109375" customWidth="1"/>
    <col min="15108" max="15108" width="15.85546875" customWidth="1"/>
    <col min="15109" max="15109" width="15.5703125" customWidth="1"/>
    <col min="15110" max="15110" width="17" customWidth="1"/>
    <col min="15111" max="15111" width="17.85546875" customWidth="1"/>
    <col min="15112" max="15112" width="14.5703125" customWidth="1"/>
    <col min="15113" max="15113" width="15.140625" customWidth="1"/>
    <col min="15114" max="15114" width="17.140625" customWidth="1"/>
    <col min="15115" max="15115" width="15.7109375" customWidth="1"/>
    <col min="15116" max="15116" width="13.5703125" bestFit="1" customWidth="1"/>
    <col min="15361" max="15361" width="8.7109375" customWidth="1"/>
    <col min="15362" max="15362" width="53.42578125" customWidth="1"/>
    <col min="15363" max="15363" width="15.7109375" customWidth="1"/>
    <col min="15364" max="15364" width="15.85546875" customWidth="1"/>
    <col min="15365" max="15365" width="15.5703125" customWidth="1"/>
    <col min="15366" max="15366" width="17" customWidth="1"/>
    <col min="15367" max="15367" width="17.85546875" customWidth="1"/>
    <col min="15368" max="15368" width="14.5703125" customWidth="1"/>
    <col min="15369" max="15369" width="15.140625" customWidth="1"/>
    <col min="15370" max="15370" width="17.140625" customWidth="1"/>
    <col min="15371" max="15371" width="15.7109375" customWidth="1"/>
    <col min="15372" max="15372" width="13.5703125" bestFit="1" customWidth="1"/>
    <col min="15617" max="15617" width="8.7109375" customWidth="1"/>
    <col min="15618" max="15618" width="53.42578125" customWidth="1"/>
    <col min="15619" max="15619" width="15.7109375" customWidth="1"/>
    <col min="15620" max="15620" width="15.85546875" customWidth="1"/>
    <col min="15621" max="15621" width="15.5703125" customWidth="1"/>
    <col min="15622" max="15622" width="17" customWidth="1"/>
    <col min="15623" max="15623" width="17.85546875" customWidth="1"/>
    <col min="15624" max="15624" width="14.5703125" customWidth="1"/>
    <col min="15625" max="15625" width="15.140625" customWidth="1"/>
    <col min="15626" max="15626" width="17.140625" customWidth="1"/>
    <col min="15627" max="15627" width="15.7109375" customWidth="1"/>
    <col min="15628" max="15628" width="13.5703125" bestFit="1" customWidth="1"/>
    <col min="15873" max="15873" width="8.7109375" customWidth="1"/>
    <col min="15874" max="15874" width="53.42578125" customWidth="1"/>
    <col min="15875" max="15875" width="15.7109375" customWidth="1"/>
    <col min="15876" max="15876" width="15.85546875" customWidth="1"/>
    <col min="15877" max="15877" width="15.5703125" customWidth="1"/>
    <col min="15878" max="15878" width="17" customWidth="1"/>
    <col min="15879" max="15879" width="17.85546875" customWidth="1"/>
    <col min="15880" max="15880" width="14.5703125" customWidth="1"/>
    <col min="15881" max="15881" width="15.140625" customWidth="1"/>
    <col min="15882" max="15882" width="17.140625" customWidth="1"/>
    <col min="15883" max="15883" width="15.7109375" customWidth="1"/>
    <col min="15884" max="15884" width="13.5703125" bestFit="1" customWidth="1"/>
    <col min="16129" max="16129" width="8.7109375" customWidth="1"/>
    <col min="16130" max="16130" width="53.42578125" customWidth="1"/>
    <col min="16131" max="16131" width="15.7109375" customWidth="1"/>
    <col min="16132" max="16132" width="15.85546875" customWidth="1"/>
    <col min="16133" max="16133" width="15.5703125" customWidth="1"/>
    <col min="16134" max="16134" width="17" customWidth="1"/>
    <col min="16135" max="16135" width="17.85546875" customWidth="1"/>
    <col min="16136" max="16136" width="14.5703125" customWidth="1"/>
    <col min="16137" max="16137" width="15.140625" customWidth="1"/>
    <col min="16138" max="16138" width="17.140625" customWidth="1"/>
    <col min="16139" max="16139" width="15.7109375" customWidth="1"/>
    <col min="16140" max="16140" width="13.5703125" bestFit="1" customWidth="1"/>
  </cols>
  <sheetData>
    <row r="1" spans="1:11" ht="15.75" x14ac:dyDescent="0.25">
      <c r="F1" s="551"/>
      <c r="G1" s="551"/>
      <c r="H1" s="551"/>
      <c r="I1" s="655" t="s">
        <v>1242</v>
      </c>
      <c r="J1" s="655"/>
      <c r="K1" s="655"/>
    </row>
    <row r="2" spans="1:11" ht="15.75" x14ac:dyDescent="0.25">
      <c r="F2" s="551" t="s">
        <v>5</v>
      </c>
      <c r="G2" s="551"/>
      <c r="H2" s="551"/>
      <c r="I2" s="655" t="s">
        <v>1243</v>
      </c>
      <c r="J2" s="655"/>
      <c r="K2" s="655"/>
    </row>
    <row r="3" spans="1:11" ht="15.75" x14ac:dyDescent="0.25">
      <c r="I3" s="655" t="s">
        <v>1244</v>
      </c>
      <c r="J3" s="655"/>
      <c r="K3" s="655"/>
    </row>
    <row r="4" spans="1:11" ht="15.75" x14ac:dyDescent="0.25">
      <c r="I4" s="655" t="s">
        <v>1305</v>
      </c>
      <c r="J4" s="655"/>
      <c r="K4" s="655"/>
    </row>
    <row r="6" spans="1:11" ht="16.5" x14ac:dyDescent="0.25">
      <c r="A6" s="651" t="s">
        <v>1245</v>
      </c>
      <c r="B6" s="651"/>
      <c r="C6" s="651"/>
      <c r="D6" s="651"/>
      <c r="E6" s="651"/>
      <c r="F6" s="651"/>
      <c r="G6" s="651"/>
      <c r="H6" s="651"/>
      <c r="I6" s="651"/>
      <c r="J6" s="651"/>
      <c r="K6" s="651"/>
    </row>
    <row r="7" spans="1:11" ht="16.899999999999999" x14ac:dyDescent="0.3">
      <c r="A7" s="552"/>
      <c r="B7" s="552"/>
      <c r="C7" s="552"/>
      <c r="D7" s="552"/>
      <c r="E7" s="552"/>
      <c r="F7" s="552"/>
      <c r="G7" s="552"/>
      <c r="H7" s="552"/>
      <c r="I7" s="552"/>
      <c r="J7" s="552"/>
      <c r="K7" s="552"/>
    </row>
    <row r="8" spans="1:11" x14ac:dyDescent="0.25">
      <c r="A8" s="652" t="s">
        <v>1246</v>
      </c>
      <c r="B8" s="652" t="s">
        <v>1247</v>
      </c>
      <c r="C8" s="652" t="s">
        <v>1248</v>
      </c>
      <c r="D8" s="652"/>
      <c r="E8" s="652"/>
      <c r="F8" s="652"/>
      <c r="G8" s="652"/>
      <c r="H8" s="652"/>
      <c r="I8" s="652"/>
      <c r="J8" s="652"/>
      <c r="K8" s="652"/>
    </row>
    <row r="9" spans="1:11" x14ac:dyDescent="0.25">
      <c r="A9" s="652"/>
      <c r="B9" s="652"/>
      <c r="C9" s="652"/>
      <c r="D9" s="652"/>
      <c r="E9" s="652"/>
      <c r="F9" s="652"/>
      <c r="G9" s="652"/>
      <c r="H9" s="652"/>
      <c r="I9" s="652"/>
      <c r="J9" s="652"/>
      <c r="K9" s="652"/>
    </row>
    <row r="10" spans="1:11" ht="15.75" x14ac:dyDescent="0.25">
      <c r="A10" s="652"/>
      <c r="B10" s="652"/>
      <c r="C10" s="652" t="s">
        <v>0</v>
      </c>
      <c r="D10" s="649" t="s">
        <v>1</v>
      </c>
      <c r="E10" s="650"/>
      <c r="F10" s="647" t="s">
        <v>2</v>
      </c>
      <c r="G10" s="649" t="s">
        <v>1</v>
      </c>
      <c r="H10" s="650"/>
      <c r="I10" s="647" t="s">
        <v>743</v>
      </c>
      <c r="J10" s="649" t="s">
        <v>1</v>
      </c>
      <c r="K10" s="650"/>
    </row>
    <row r="11" spans="1:11" ht="47.25" x14ac:dyDescent="0.25">
      <c r="A11" s="652"/>
      <c r="B11" s="652"/>
      <c r="C11" s="652"/>
      <c r="D11" s="553" t="s">
        <v>1249</v>
      </c>
      <c r="E11" s="553" t="s">
        <v>1250</v>
      </c>
      <c r="F11" s="648"/>
      <c r="G11" s="553" t="s">
        <v>1249</v>
      </c>
      <c r="H11" s="553" t="s">
        <v>1250</v>
      </c>
      <c r="I11" s="648"/>
      <c r="J11" s="553" t="s">
        <v>1249</v>
      </c>
      <c r="K11" s="553" t="s">
        <v>1250</v>
      </c>
    </row>
    <row r="12" spans="1:11" ht="63" x14ac:dyDescent="0.25">
      <c r="A12" s="554" t="s">
        <v>1251</v>
      </c>
      <c r="B12" s="555" t="s">
        <v>1252</v>
      </c>
      <c r="C12" s="681">
        <f>C13+C58</f>
        <v>92191.531099999993</v>
      </c>
      <c r="D12" s="681">
        <f t="shared" ref="D12:K12" si="0">D13+D58</f>
        <v>53561.208609999994</v>
      </c>
      <c r="E12" s="681">
        <f t="shared" si="0"/>
        <v>38630.322490000006</v>
      </c>
      <c r="F12" s="682">
        <f t="shared" si="0"/>
        <v>47127.7889</v>
      </c>
      <c r="G12" s="682">
        <f t="shared" si="0"/>
        <v>18075.5</v>
      </c>
      <c r="H12" s="682">
        <f t="shared" si="0"/>
        <v>29052.2889</v>
      </c>
      <c r="I12" s="682">
        <f t="shared" si="0"/>
        <v>49070.600000000006</v>
      </c>
      <c r="J12" s="682">
        <f t="shared" si="0"/>
        <v>19824</v>
      </c>
      <c r="K12" s="682">
        <f t="shared" si="0"/>
        <v>29246.600000000002</v>
      </c>
    </row>
    <row r="13" spans="1:11" s="559" customFormat="1" ht="47.25" x14ac:dyDescent="0.25">
      <c r="A13" s="556" t="s">
        <v>1253</v>
      </c>
      <c r="B13" s="557" t="s">
        <v>1254</v>
      </c>
      <c r="C13" s="590">
        <f>C14+C18+C56</f>
        <v>91927.031099999993</v>
      </c>
      <c r="D13" s="590">
        <f t="shared" ref="D13:E13" si="1">D14+D18+D56</f>
        <v>53561.208609999994</v>
      </c>
      <c r="E13" s="590">
        <f t="shared" si="1"/>
        <v>38365.822490000006</v>
      </c>
      <c r="F13" s="558">
        <f t="shared" ref="F13:K13" si="2">F15+F19+F46+F57+F17</f>
        <v>46927.7889</v>
      </c>
      <c r="G13" s="558">
        <f t="shared" si="2"/>
        <v>18075.5</v>
      </c>
      <c r="H13" s="558">
        <f t="shared" si="2"/>
        <v>28852.2889</v>
      </c>
      <c r="I13" s="558">
        <f t="shared" si="2"/>
        <v>48870.600000000006</v>
      </c>
      <c r="J13" s="558">
        <f t="shared" si="2"/>
        <v>19824</v>
      </c>
      <c r="K13" s="558">
        <f t="shared" si="2"/>
        <v>29046.600000000002</v>
      </c>
    </row>
    <row r="14" spans="1:11" s="559" customFormat="1" ht="31.5" x14ac:dyDescent="0.25">
      <c r="A14" s="560" t="s">
        <v>1255</v>
      </c>
      <c r="B14" s="561" t="s">
        <v>866</v>
      </c>
      <c r="C14" s="591">
        <f>C15</f>
        <v>500</v>
      </c>
      <c r="D14" s="591">
        <f t="shared" ref="D14:K14" si="3">D15</f>
        <v>0</v>
      </c>
      <c r="E14" s="591">
        <f t="shared" si="3"/>
        <v>500</v>
      </c>
      <c r="F14" s="562">
        <f t="shared" si="3"/>
        <v>500</v>
      </c>
      <c r="G14" s="562">
        <f t="shared" si="3"/>
        <v>0</v>
      </c>
      <c r="H14" s="562">
        <f t="shared" si="3"/>
        <v>500</v>
      </c>
      <c r="I14" s="562">
        <f t="shared" si="3"/>
        <v>500</v>
      </c>
      <c r="J14" s="562">
        <f t="shared" si="3"/>
        <v>0</v>
      </c>
      <c r="K14" s="562">
        <f t="shared" si="3"/>
        <v>500</v>
      </c>
    </row>
    <row r="15" spans="1:11" s="566" customFormat="1" ht="31.5" x14ac:dyDescent="0.25">
      <c r="A15" s="563"/>
      <c r="B15" s="564" t="s">
        <v>306</v>
      </c>
      <c r="C15" s="592">
        <v>500</v>
      </c>
      <c r="D15" s="592">
        <v>0</v>
      </c>
      <c r="E15" s="592">
        <v>500</v>
      </c>
      <c r="F15" s="565">
        <v>500</v>
      </c>
      <c r="G15" s="565">
        <v>0</v>
      </c>
      <c r="H15" s="565">
        <v>500</v>
      </c>
      <c r="I15" s="565">
        <f>K15</f>
        <v>500</v>
      </c>
      <c r="J15" s="565">
        <v>0</v>
      </c>
      <c r="K15" s="565">
        <v>500</v>
      </c>
    </row>
    <row r="16" spans="1:11" s="566" customFormat="1" ht="47.25" x14ac:dyDescent="0.25">
      <c r="A16" s="560" t="s">
        <v>1256</v>
      </c>
      <c r="B16" s="561" t="s">
        <v>486</v>
      </c>
      <c r="C16" s="591">
        <f>C17</f>
        <v>0</v>
      </c>
      <c r="D16" s="591">
        <f t="shared" ref="D16:K16" si="4">D17</f>
        <v>0</v>
      </c>
      <c r="E16" s="591">
        <f t="shared" si="4"/>
        <v>0</v>
      </c>
      <c r="F16" s="562">
        <f t="shared" si="4"/>
        <v>0</v>
      </c>
      <c r="G16" s="562">
        <f t="shared" si="4"/>
        <v>0</v>
      </c>
      <c r="H16" s="562">
        <f t="shared" si="4"/>
        <v>0</v>
      </c>
      <c r="I16" s="562">
        <f t="shared" si="4"/>
        <v>0</v>
      </c>
      <c r="J16" s="562">
        <f t="shared" si="4"/>
        <v>0</v>
      </c>
      <c r="K16" s="562">
        <f t="shared" si="4"/>
        <v>0</v>
      </c>
    </row>
    <row r="17" spans="1:12" s="566" customFormat="1" ht="15.6" hidden="1" x14ac:dyDescent="0.3">
      <c r="A17" s="563"/>
      <c r="B17" s="567" t="s">
        <v>1257</v>
      </c>
      <c r="C17" s="592">
        <v>0</v>
      </c>
      <c r="D17" s="592">
        <v>0</v>
      </c>
      <c r="E17" s="592">
        <v>0</v>
      </c>
      <c r="F17" s="565">
        <v>0</v>
      </c>
      <c r="G17" s="565">
        <v>0</v>
      </c>
      <c r="H17" s="565">
        <v>0</v>
      </c>
      <c r="I17" s="565">
        <v>0</v>
      </c>
      <c r="J17" s="565">
        <v>0</v>
      </c>
      <c r="K17" s="565">
        <v>0</v>
      </c>
    </row>
    <row r="18" spans="1:12" s="566" customFormat="1" ht="32.25" customHeight="1" x14ac:dyDescent="0.25">
      <c r="A18" s="560" t="s">
        <v>1256</v>
      </c>
      <c r="B18" s="568" t="s">
        <v>308</v>
      </c>
      <c r="C18" s="591">
        <f t="shared" ref="C18:K18" si="5">C19+C46+C44+C45</f>
        <v>65683.131099999999</v>
      </c>
      <c r="D18" s="591">
        <f t="shared" si="5"/>
        <v>53561.208609999994</v>
      </c>
      <c r="E18" s="591">
        <f t="shared" si="5"/>
        <v>12121.922490000001</v>
      </c>
      <c r="F18" s="562">
        <f t="shared" si="5"/>
        <v>20083.888900000002</v>
      </c>
      <c r="G18" s="562">
        <f t="shared" si="5"/>
        <v>18075.5</v>
      </c>
      <c r="H18" s="562">
        <f t="shared" si="5"/>
        <v>2008.3888999999999</v>
      </c>
      <c r="I18" s="562">
        <f t="shared" si="5"/>
        <v>22026.7</v>
      </c>
      <c r="J18" s="562">
        <f t="shared" si="5"/>
        <v>19824</v>
      </c>
      <c r="K18" s="562">
        <f t="shared" si="5"/>
        <v>2202.6999999999998</v>
      </c>
    </row>
    <row r="19" spans="1:12" s="566" customFormat="1" ht="15.75" x14ac:dyDescent="0.25">
      <c r="A19" s="563" t="s">
        <v>1258</v>
      </c>
      <c r="B19" s="567" t="s">
        <v>310</v>
      </c>
      <c r="C19" s="592">
        <f>D19+E19</f>
        <v>59980.131099999999</v>
      </c>
      <c r="D19" s="592">
        <f>D21+D22+D23+D24+D25+D34+D26+D27+D28+D29+D30+D31+D32+D35+D36+D37+D38+D39+D40</f>
        <v>53561.208609999994</v>
      </c>
      <c r="E19" s="592">
        <f>E21+E22+E23+E24+E25+E34+E26+E27+E28+E29+E30+E31+E32+E35+E36+E37+E38+E39+E40+E41+E43</f>
        <v>6418.9224900000017</v>
      </c>
      <c r="F19" s="565">
        <f>F21+F22+F23+F24+F25+F34+F33+F42</f>
        <v>20083.888900000002</v>
      </c>
      <c r="G19" s="565">
        <f t="shared" ref="G19:H19" si="6">G21+G22+G23+G24+G25+G34+G33+G42</f>
        <v>18075.5</v>
      </c>
      <c r="H19" s="565">
        <f t="shared" si="6"/>
        <v>2008.3888999999999</v>
      </c>
      <c r="I19" s="565">
        <f t="shared" ref="I19:K19" si="7">I21+I22+I23+I24+I25+I34+I33</f>
        <v>22026.7</v>
      </c>
      <c r="J19" s="565">
        <f t="shared" si="7"/>
        <v>19824</v>
      </c>
      <c r="K19" s="565">
        <f t="shared" si="7"/>
        <v>2202.6999999999998</v>
      </c>
    </row>
    <row r="20" spans="1:12" s="572" customFormat="1" ht="15.75" x14ac:dyDescent="0.25">
      <c r="A20" s="569"/>
      <c r="B20" s="570" t="s">
        <v>1</v>
      </c>
      <c r="C20" s="593"/>
      <c r="D20" s="593"/>
      <c r="E20" s="593"/>
      <c r="F20" s="571"/>
      <c r="G20" s="571"/>
      <c r="H20" s="571"/>
      <c r="I20" s="571"/>
      <c r="J20" s="571"/>
      <c r="K20" s="571"/>
    </row>
    <row r="21" spans="1:12" ht="31.5" x14ac:dyDescent="0.25">
      <c r="A21" s="573"/>
      <c r="B21" s="574" t="s">
        <v>1259</v>
      </c>
      <c r="C21" s="594">
        <f t="shared" ref="C21:C32" si="8">D21+E21</f>
        <v>15133.05999</v>
      </c>
      <c r="D21" s="594">
        <v>13619.753989999999</v>
      </c>
      <c r="E21" s="594">
        <v>1513.306</v>
      </c>
      <c r="F21" s="575">
        <f>G21+H21</f>
        <v>17432.111120000001</v>
      </c>
      <c r="G21" s="575">
        <v>15688.9</v>
      </c>
      <c r="H21" s="575">
        <v>1743.2111199999999</v>
      </c>
      <c r="I21" s="575">
        <v>0</v>
      </c>
      <c r="J21" s="575">
        <v>0</v>
      </c>
      <c r="K21" s="575">
        <v>0</v>
      </c>
    </row>
    <row r="22" spans="1:12" ht="31.5" x14ac:dyDescent="0.25">
      <c r="A22" s="573"/>
      <c r="B22" s="574" t="s">
        <v>1260</v>
      </c>
      <c r="C22" s="594">
        <f t="shared" si="8"/>
        <v>7495.6250300000002</v>
      </c>
      <c r="D22" s="594">
        <v>6746.0625200000004</v>
      </c>
      <c r="E22" s="594">
        <v>749.56250999999997</v>
      </c>
      <c r="F22" s="575">
        <v>0</v>
      </c>
      <c r="G22" s="575">
        <v>0</v>
      </c>
      <c r="H22" s="575">
        <v>0</v>
      </c>
      <c r="I22" s="575">
        <v>0</v>
      </c>
      <c r="J22" s="575">
        <v>0</v>
      </c>
      <c r="K22" s="575">
        <v>0</v>
      </c>
    </row>
    <row r="23" spans="1:12" ht="31.5" x14ac:dyDescent="0.25">
      <c r="A23" s="573"/>
      <c r="B23" s="574" t="s">
        <v>1261</v>
      </c>
      <c r="C23" s="594">
        <f t="shared" si="8"/>
        <v>6516.2107399999995</v>
      </c>
      <c r="D23" s="594">
        <v>5864.5896599999996</v>
      </c>
      <c r="E23" s="594">
        <v>651.62108000000001</v>
      </c>
      <c r="F23" s="575">
        <v>0</v>
      </c>
      <c r="G23" s="575">
        <v>0</v>
      </c>
      <c r="H23" s="575">
        <v>0</v>
      </c>
      <c r="I23" s="575">
        <v>0</v>
      </c>
      <c r="J23" s="575">
        <v>0</v>
      </c>
      <c r="K23" s="575">
        <v>0</v>
      </c>
    </row>
    <row r="24" spans="1:12" ht="207.75" customHeight="1" x14ac:dyDescent="0.25">
      <c r="A24" s="573"/>
      <c r="B24" s="576" t="s">
        <v>1262</v>
      </c>
      <c r="C24" s="594">
        <f t="shared" si="8"/>
        <v>8440.710500000001</v>
      </c>
      <c r="D24" s="594">
        <v>7596.6394300000002</v>
      </c>
      <c r="E24" s="594">
        <v>844.07106999999996</v>
      </c>
      <c r="F24" s="575">
        <v>0</v>
      </c>
      <c r="G24" s="575">
        <v>0</v>
      </c>
      <c r="H24" s="575">
        <v>0</v>
      </c>
      <c r="I24" s="575">
        <v>0</v>
      </c>
      <c r="J24" s="575">
        <v>0</v>
      </c>
      <c r="K24" s="575">
        <v>0</v>
      </c>
    </row>
    <row r="25" spans="1:12" s="572" customFormat="1" ht="141.75" x14ac:dyDescent="0.25">
      <c r="A25" s="569"/>
      <c r="B25" s="577" t="s">
        <v>1263</v>
      </c>
      <c r="C25" s="594">
        <f t="shared" si="8"/>
        <v>5443.1574999999993</v>
      </c>
      <c r="D25" s="594">
        <v>4898.8417399999998</v>
      </c>
      <c r="E25" s="594">
        <v>544.31575999999995</v>
      </c>
      <c r="F25" s="571">
        <v>0</v>
      </c>
      <c r="G25" s="571">
        <v>0</v>
      </c>
      <c r="H25" s="571">
        <v>0</v>
      </c>
      <c r="I25" s="571">
        <v>0</v>
      </c>
      <c r="J25" s="571">
        <v>0</v>
      </c>
      <c r="K25" s="571">
        <v>0</v>
      </c>
      <c r="L25" s="578"/>
    </row>
    <row r="26" spans="1:12" s="572" customFormat="1" ht="47.25" x14ac:dyDescent="0.25">
      <c r="A26" s="569"/>
      <c r="B26" s="577" t="s">
        <v>1264</v>
      </c>
      <c r="C26" s="594">
        <f t="shared" si="8"/>
        <v>2807.3623500000003</v>
      </c>
      <c r="D26" s="594">
        <f>3561.13747-1034.51136</f>
        <v>2526.6261100000002</v>
      </c>
      <c r="E26" s="594">
        <f>395.68195-114.94571</f>
        <v>280.73623999999995</v>
      </c>
      <c r="F26" s="571">
        <v>0</v>
      </c>
      <c r="G26" s="571">
        <v>0</v>
      </c>
      <c r="H26" s="571">
        <v>0</v>
      </c>
      <c r="I26" s="571">
        <v>0</v>
      </c>
      <c r="J26" s="571">
        <v>0</v>
      </c>
      <c r="K26" s="571">
        <v>0</v>
      </c>
      <c r="L26" s="578"/>
    </row>
    <row r="27" spans="1:12" s="572" customFormat="1" ht="31.5" x14ac:dyDescent="0.25">
      <c r="A27" s="569"/>
      <c r="B27" s="577" t="s">
        <v>1265</v>
      </c>
      <c r="C27" s="594">
        <f t="shared" si="8"/>
        <v>574.79040000000009</v>
      </c>
      <c r="D27" s="594">
        <v>517.31136000000004</v>
      </c>
      <c r="E27" s="594">
        <v>57.479039999999998</v>
      </c>
      <c r="F27" s="571">
        <v>0</v>
      </c>
      <c r="G27" s="571">
        <v>0</v>
      </c>
      <c r="H27" s="571">
        <v>0</v>
      </c>
      <c r="I27" s="571">
        <v>0</v>
      </c>
      <c r="J27" s="571">
        <v>0</v>
      </c>
      <c r="K27" s="571">
        <v>0</v>
      </c>
      <c r="L27" s="578"/>
    </row>
    <row r="28" spans="1:12" s="572" customFormat="1" ht="31.5" x14ac:dyDescent="0.25">
      <c r="A28" s="569"/>
      <c r="B28" s="577" t="s">
        <v>1266</v>
      </c>
      <c r="C28" s="594">
        <f t="shared" si="8"/>
        <v>572.89800000000002</v>
      </c>
      <c r="D28" s="594">
        <v>515.60820000000001</v>
      </c>
      <c r="E28" s="594">
        <v>57.2898</v>
      </c>
      <c r="F28" s="571">
        <v>0</v>
      </c>
      <c r="G28" s="571">
        <v>0</v>
      </c>
      <c r="H28" s="571">
        <v>0</v>
      </c>
      <c r="I28" s="571">
        <v>0</v>
      </c>
      <c r="J28" s="571">
        <v>0</v>
      </c>
      <c r="K28" s="571">
        <v>0</v>
      </c>
      <c r="L28" s="578"/>
    </row>
    <row r="29" spans="1:12" s="572" customFormat="1" ht="47.25" x14ac:dyDescent="0.25">
      <c r="A29" s="569"/>
      <c r="B29" s="577" t="s">
        <v>1267</v>
      </c>
      <c r="C29" s="594">
        <f t="shared" si="8"/>
        <v>566.58000000000004</v>
      </c>
      <c r="D29" s="594">
        <v>509.92200000000003</v>
      </c>
      <c r="E29" s="594">
        <v>56.658000000000001</v>
      </c>
      <c r="F29" s="571">
        <v>0</v>
      </c>
      <c r="G29" s="571">
        <v>0</v>
      </c>
      <c r="H29" s="571">
        <v>0</v>
      </c>
      <c r="I29" s="571">
        <v>0</v>
      </c>
      <c r="J29" s="571">
        <v>0</v>
      </c>
      <c r="K29" s="571">
        <v>0</v>
      </c>
      <c r="L29" s="578"/>
    </row>
    <row r="30" spans="1:12" s="572" customFormat="1" ht="47.25" x14ac:dyDescent="0.25">
      <c r="A30" s="569"/>
      <c r="B30" s="577" t="s">
        <v>1268</v>
      </c>
      <c r="C30" s="594">
        <f t="shared" si="8"/>
        <v>567.41450999999995</v>
      </c>
      <c r="D30" s="594">
        <v>510.67304999999999</v>
      </c>
      <c r="E30" s="594">
        <v>56.741459999999996</v>
      </c>
      <c r="F30" s="571">
        <v>0</v>
      </c>
      <c r="G30" s="571">
        <v>0</v>
      </c>
      <c r="H30" s="571">
        <v>0</v>
      </c>
      <c r="I30" s="571">
        <v>0</v>
      </c>
      <c r="J30" s="571">
        <v>0</v>
      </c>
      <c r="K30" s="571">
        <v>0</v>
      </c>
      <c r="L30" s="578"/>
    </row>
    <row r="31" spans="1:12" s="572" customFormat="1" ht="31.5" x14ac:dyDescent="0.25">
      <c r="A31" s="569"/>
      <c r="B31" s="577" t="s">
        <v>1269</v>
      </c>
      <c r="C31" s="594">
        <f t="shared" si="8"/>
        <v>2332.9563299999995</v>
      </c>
      <c r="D31" s="594">
        <f>3205.58904-1105.92835</f>
        <v>2099.6606899999997</v>
      </c>
      <c r="E31" s="594">
        <f>356.17656-122.88092</f>
        <v>233.29563999999999</v>
      </c>
      <c r="F31" s="571">
        <v>0</v>
      </c>
      <c r="G31" s="571">
        <v>0</v>
      </c>
      <c r="H31" s="571">
        <v>0</v>
      </c>
      <c r="I31" s="571">
        <v>0</v>
      </c>
      <c r="J31" s="571">
        <v>0</v>
      </c>
      <c r="K31" s="571">
        <v>0</v>
      </c>
      <c r="L31" s="578"/>
    </row>
    <row r="32" spans="1:12" s="572" customFormat="1" ht="31.5" x14ac:dyDescent="0.25">
      <c r="A32" s="569"/>
      <c r="B32" s="577" t="s">
        <v>1270</v>
      </c>
      <c r="C32" s="594">
        <f t="shared" si="8"/>
        <v>1692.8416099999999</v>
      </c>
      <c r="D32" s="594">
        <f>2224.17148-700.61404</f>
        <v>1523.55744</v>
      </c>
      <c r="E32" s="594">
        <f>247.13017-77.846</f>
        <v>169.28416999999999</v>
      </c>
      <c r="F32" s="571">
        <v>0</v>
      </c>
      <c r="G32" s="571">
        <v>0</v>
      </c>
      <c r="H32" s="571">
        <v>0</v>
      </c>
      <c r="I32" s="571">
        <v>0</v>
      </c>
      <c r="J32" s="571">
        <v>0</v>
      </c>
      <c r="K32" s="571">
        <v>0</v>
      </c>
      <c r="L32" s="578"/>
    </row>
    <row r="33" spans="1:12" s="572" customFormat="1" ht="63" x14ac:dyDescent="0.25">
      <c r="A33" s="569"/>
      <c r="B33" s="577" t="s">
        <v>1271</v>
      </c>
      <c r="C33" s="594"/>
      <c r="D33" s="594"/>
      <c r="E33" s="594"/>
      <c r="F33" s="571"/>
      <c r="G33" s="571"/>
      <c r="H33" s="571"/>
      <c r="I33" s="571">
        <f>J33+K33</f>
        <v>22026.7</v>
      </c>
      <c r="J33" s="571">
        <v>19824</v>
      </c>
      <c r="K33" s="571">
        <v>2202.6999999999998</v>
      </c>
      <c r="L33" s="578"/>
    </row>
    <row r="34" spans="1:12" s="572" customFormat="1" ht="31.5" x14ac:dyDescent="0.25">
      <c r="A34" s="569"/>
      <c r="B34" s="577" t="s">
        <v>1272</v>
      </c>
      <c r="C34" s="593">
        <f>SUM(D34:E34)</f>
        <v>599.0150000000001</v>
      </c>
      <c r="D34" s="593">
        <v>539.11350000000004</v>
      </c>
      <c r="E34" s="593">
        <v>59.901499999999999</v>
      </c>
      <c r="F34" s="571"/>
      <c r="G34" s="571"/>
      <c r="H34" s="571"/>
      <c r="I34" s="571"/>
      <c r="J34" s="571"/>
      <c r="K34" s="571"/>
      <c r="L34" s="578"/>
    </row>
    <row r="35" spans="1:12" s="572" customFormat="1" ht="31.5" x14ac:dyDescent="0.25">
      <c r="A35" s="569"/>
      <c r="B35" s="577" t="s">
        <v>1273</v>
      </c>
      <c r="C35" s="593">
        <f t="shared" ref="C35:C40" si="9">SUM(D35:E35)</f>
        <v>595.45100000000002</v>
      </c>
      <c r="D35" s="593">
        <v>535.90589999999997</v>
      </c>
      <c r="E35" s="593">
        <v>59.545099999999998</v>
      </c>
      <c r="F35" s="571"/>
      <c r="G35" s="571"/>
      <c r="H35" s="571"/>
      <c r="I35" s="571"/>
      <c r="J35" s="571"/>
      <c r="K35" s="571"/>
      <c r="L35" s="578"/>
    </row>
    <row r="36" spans="1:12" s="572" customFormat="1" ht="31.5" x14ac:dyDescent="0.25">
      <c r="A36" s="569"/>
      <c r="B36" s="577" t="s">
        <v>1274</v>
      </c>
      <c r="C36" s="593">
        <f t="shared" si="9"/>
        <v>591.45799999999997</v>
      </c>
      <c r="D36" s="593">
        <v>532.31219999999996</v>
      </c>
      <c r="E36" s="593">
        <v>59.145800000000001</v>
      </c>
      <c r="F36" s="571"/>
      <c r="G36" s="571"/>
      <c r="H36" s="571"/>
      <c r="I36" s="571"/>
      <c r="J36" s="571"/>
      <c r="K36" s="571"/>
      <c r="L36" s="578"/>
    </row>
    <row r="37" spans="1:12" s="572" customFormat="1" ht="31.5" x14ac:dyDescent="0.25">
      <c r="A37" s="569"/>
      <c r="B37" s="577" t="s">
        <v>1275</v>
      </c>
      <c r="C37" s="594">
        <f t="shared" si="9"/>
        <v>2241.66689</v>
      </c>
      <c r="D37" s="594">
        <f>2690-672.4998</f>
        <v>2017.5001999999999</v>
      </c>
      <c r="E37" s="594">
        <f>298.88889-74.7222</f>
        <v>224.16669000000002</v>
      </c>
      <c r="F37" s="683"/>
      <c r="G37" s="683"/>
      <c r="H37" s="683"/>
      <c r="I37" s="571"/>
      <c r="J37" s="571"/>
      <c r="K37" s="571"/>
      <c r="L37" s="578"/>
    </row>
    <row r="38" spans="1:12" s="572" customFormat="1" ht="31.5" x14ac:dyDescent="0.25">
      <c r="A38" s="569"/>
      <c r="B38" s="577" t="s">
        <v>1276</v>
      </c>
      <c r="C38" s="594">
        <f t="shared" si="9"/>
        <v>998.31240000000003</v>
      </c>
      <c r="D38" s="594">
        <f>998.3124-99.83124</f>
        <v>898.48116000000005</v>
      </c>
      <c r="E38" s="594">
        <f>110.9236-11.09236</f>
        <v>99.831239999999994</v>
      </c>
      <c r="F38" s="683"/>
      <c r="G38" s="683"/>
      <c r="H38" s="683"/>
      <c r="I38" s="571"/>
      <c r="J38" s="571"/>
      <c r="K38" s="571"/>
      <c r="L38" s="578"/>
    </row>
    <row r="39" spans="1:12" s="572" customFormat="1" ht="31.5" x14ac:dyDescent="0.25">
      <c r="A39" s="569"/>
      <c r="B39" s="577" t="s">
        <v>1277</v>
      </c>
      <c r="C39" s="594">
        <f t="shared" si="9"/>
        <v>597.94499999999994</v>
      </c>
      <c r="D39" s="594">
        <v>538.15049999999997</v>
      </c>
      <c r="E39" s="594">
        <v>59.794499999999999</v>
      </c>
      <c r="F39" s="683"/>
      <c r="G39" s="683"/>
      <c r="H39" s="683"/>
      <c r="I39" s="571"/>
      <c r="J39" s="571"/>
      <c r="K39" s="571"/>
      <c r="L39" s="578"/>
    </row>
    <row r="40" spans="1:12" s="572" customFormat="1" ht="31.5" x14ac:dyDescent="0.25">
      <c r="A40" s="569"/>
      <c r="B40" s="577" t="s">
        <v>1278</v>
      </c>
      <c r="C40" s="594">
        <f t="shared" si="9"/>
        <v>1744.9988499999999</v>
      </c>
      <c r="D40" s="594">
        <f>2166.2055-595.70654</f>
        <v>1570.4989599999999</v>
      </c>
      <c r="E40" s="594">
        <f>240.6895-66.18961</f>
        <v>174.49988999999999</v>
      </c>
      <c r="F40" s="683"/>
      <c r="G40" s="683"/>
      <c r="H40" s="683"/>
      <c r="I40" s="571"/>
      <c r="J40" s="571"/>
      <c r="K40" s="571"/>
      <c r="L40" s="578"/>
    </row>
    <row r="41" spans="1:12" s="572" customFormat="1" ht="31.5" x14ac:dyDescent="0.25">
      <c r="A41" s="569"/>
      <c r="B41" s="577" t="s">
        <v>1300</v>
      </c>
      <c r="C41" s="594">
        <f>D41+E41</f>
        <v>145.84700000000001</v>
      </c>
      <c r="D41" s="594"/>
      <c r="E41" s="594">
        <v>145.84700000000001</v>
      </c>
      <c r="F41" s="683"/>
      <c r="G41" s="683"/>
      <c r="H41" s="683"/>
      <c r="I41" s="571"/>
      <c r="J41" s="571"/>
      <c r="K41" s="571"/>
      <c r="L41" s="578"/>
    </row>
    <row r="42" spans="1:12" s="572" customFormat="1" ht="31.5" x14ac:dyDescent="0.25">
      <c r="A42" s="569"/>
      <c r="B42" s="577" t="s">
        <v>1299</v>
      </c>
      <c r="C42" s="594"/>
      <c r="D42" s="594"/>
      <c r="E42" s="594"/>
      <c r="F42" s="683">
        <f>G42+H42</f>
        <v>2651.7777799999999</v>
      </c>
      <c r="G42" s="683">
        <v>2386.6</v>
      </c>
      <c r="H42" s="683">
        <v>265.17777999999998</v>
      </c>
      <c r="I42" s="571"/>
      <c r="J42" s="571"/>
      <c r="K42" s="571"/>
      <c r="L42" s="578"/>
    </row>
    <row r="43" spans="1:12" s="572" customFormat="1" ht="47.25" x14ac:dyDescent="0.25">
      <c r="A43" s="569"/>
      <c r="B43" s="577" t="s">
        <v>1301</v>
      </c>
      <c r="C43" s="683">
        <f>D43+E43</f>
        <v>321.83</v>
      </c>
      <c r="D43" s="683"/>
      <c r="E43" s="683">
        <v>321.83</v>
      </c>
      <c r="F43" s="683"/>
      <c r="G43" s="683"/>
      <c r="H43" s="683"/>
      <c r="I43" s="571"/>
      <c r="J43" s="571"/>
      <c r="K43" s="571"/>
      <c r="L43" s="578"/>
    </row>
    <row r="44" spans="1:12" s="572" customFormat="1" ht="47.25" x14ac:dyDescent="0.25">
      <c r="A44" s="563" t="s">
        <v>1279</v>
      </c>
      <c r="B44" s="579" t="s">
        <v>1080</v>
      </c>
      <c r="C44" s="592">
        <v>450</v>
      </c>
      <c r="D44" s="592">
        <v>0</v>
      </c>
      <c r="E44" s="592">
        <v>450</v>
      </c>
      <c r="F44" s="565"/>
      <c r="G44" s="565"/>
      <c r="H44" s="565"/>
      <c r="I44" s="565"/>
      <c r="J44" s="565"/>
      <c r="K44" s="565"/>
    </row>
    <row r="45" spans="1:12" s="572" customFormat="1" ht="63" x14ac:dyDescent="0.25">
      <c r="A45" s="563" t="s">
        <v>1280</v>
      </c>
      <c r="B45" s="564" t="s">
        <v>1197</v>
      </c>
      <c r="C45" s="592">
        <v>1170</v>
      </c>
      <c r="D45" s="592">
        <v>0</v>
      </c>
      <c r="E45" s="592">
        <v>1170</v>
      </c>
      <c r="F45" s="565"/>
      <c r="G45" s="565"/>
      <c r="H45" s="565"/>
      <c r="I45" s="565"/>
      <c r="J45" s="565"/>
      <c r="K45" s="565"/>
      <c r="L45" s="578"/>
    </row>
    <row r="46" spans="1:12" s="580" customFormat="1" ht="15.75" x14ac:dyDescent="0.25">
      <c r="A46" s="563" t="s">
        <v>1281</v>
      </c>
      <c r="B46" s="567" t="s">
        <v>1282</v>
      </c>
      <c r="C46" s="592">
        <f>SUM(C48:C55)</f>
        <v>4083</v>
      </c>
      <c r="D46" s="592">
        <f>SUM(D48:D55)</f>
        <v>0</v>
      </c>
      <c r="E46" s="592">
        <f>SUM(E48:E55)</f>
        <v>4083</v>
      </c>
      <c r="F46" s="565">
        <v>0</v>
      </c>
      <c r="G46" s="565">
        <v>0</v>
      </c>
      <c r="H46" s="565">
        <v>0</v>
      </c>
      <c r="I46" s="565">
        <v>0</v>
      </c>
      <c r="J46" s="565">
        <v>0</v>
      </c>
      <c r="K46" s="565">
        <v>0</v>
      </c>
    </row>
    <row r="47" spans="1:12" ht="15.75" x14ac:dyDescent="0.25">
      <c r="A47" s="573"/>
      <c r="B47" s="581" t="s">
        <v>1</v>
      </c>
      <c r="C47" s="595"/>
      <c r="D47" s="595"/>
      <c r="E47" s="595"/>
      <c r="F47" s="575"/>
      <c r="G47" s="575"/>
      <c r="H47" s="575"/>
      <c r="I47" s="575"/>
      <c r="J47" s="575"/>
      <c r="K47" s="575"/>
    </row>
    <row r="48" spans="1:12" ht="47.25" x14ac:dyDescent="0.25">
      <c r="A48" s="573"/>
      <c r="B48" s="582" t="s">
        <v>1283</v>
      </c>
      <c r="C48" s="594">
        <f t="shared" ref="C48:C57" si="10">D48+E48</f>
        <v>188.2</v>
      </c>
      <c r="D48" s="595">
        <v>0</v>
      </c>
      <c r="E48" s="595">
        <v>188.2</v>
      </c>
      <c r="F48" s="575">
        <f>G48+H48</f>
        <v>0</v>
      </c>
      <c r="G48" s="575">
        <v>0</v>
      </c>
      <c r="H48" s="575">
        <v>0</v>
      </c>
      <c r="I48" s="575">
        <f>J48+K48</f>
        <v>0</v>
      </c>
      <c r="J48" s="575">
        <v>0</v>
      </c>
      <c r="K48" s="575">
        <v>0</v>
      </c>
    </row>
    <row r="49" spans="1:12" ht="31.5" x14ac:dyDescent="0.25">
      <c r="A49" s="573"/>
      <c r="B49" s="582" t="s">
        <v>1284</v>
      </c>
      <c r="C49" s="594">
        <f t="shared" si="10"/>
        <v>207.3</v>
      </c>
      <c r="D49" s="595">
        <v>0</v>
      </c>
      <c r="E49" s="595">
        <v>207.3</v>
      </c>
      <c r="F49" s="575">
        <v>0</v>
      </c>
      <c r="G49" s="575">
        <v>0</v>
      </c>
      <c r="H49" s="575">
        <v>0</v>
      </c>
      <c r="I49" s="575">
        <v>0</v>
      </c>
      <c r="J49" s="575">
        <v>0</v>
      </c>
      <c r="K49" s="575">
        <v>0</v>
      </c>
    </row>
    <row r="50" spans="1:12" ht="31.5" x14ac:dyDescent="0.25">
      <c r="A50" s="573"/>
      <c r="B50" s="582" t="s">
        <v>1285</v>
      </c>
      <c r="C50" s="594">
        <f t="shared" si="10"/>
        <v>1000</v>
      </c>
      <c r="D50" s="595">
        <v>0</v>
      </c>
      <c r="E50" s="595">
        <v>1000</v>
      </c>
      <c r="F50" s="575">
        <f>G50+H50</f>
        <v>0</v>
      </c>
      <c r="G50" s="575">
        <v>0</v>
      </c>
      <c r="H50" s="575">
        <v>0</v>
      </c>
      <c r="I50" s="575">
        <f>J50+K50</f>
        <v>0</v>
      </c>
      <c r="J50" s="575">
        <v>0</v>
      </c>
      <c r="K50" s="575">
        <v>0</v>
      </c>
    </row>
    <row r="51" spans="1:12" ht="31.5" x14ac:dyDescent="0.25">
      <c r="A51" s="573"/>
      <c r="B51" s="582" t="s">
        <v>1286</v>
      </c>
      <c r="C51" s="594">
        <f t="shared" si="10"/>
        <v>1000</v>
      </c>
      <c r="D51" s="595">
        <v>0</v>
      </c>
      <c r="E51" s="595">
        <v>1000</v>
      </c>
      <c r="F51" s="575">
        <f>G51+H51</f>
        <v>0</v>
      </c>
      <c r="G51" s="575">
        <v>0</v>
      </c>
      <c r="H51" s="575">
        <v>0</v>
      </c>
      <c r="I51" s="575">
        <v>0</v>
      </c>
      <c r="J51" s="575">
        <v>0</v>
      </c>
      <c r="K51" s="575">
        <v>0</v>
      </c>
      <c r="L51" s="583"/>
    </row>
    <row r="52" spans="1:12" ht="15.75" x14ac:dyDescent="0.25">
      <c r="A52" s="573"/>
      <c r="B52" s="582" t="s">
        <v>1287</v>
      </c>
      <c r="C52" s="594">
        <f t="shared" si="10"/>
        <v>593.33000000000004</v>
      </c>
      <c r="D52" s="595">
        <v>0</v>
      </c>
      <c r="E52" s="594">
        <v>593.33000000000004</v>
      </c>
      <c r="F52" s="575"/>
      <c r="G52" s="575"/>
      <c r="H52" s="575"/>
      <c r="I52" s="575"/>
      <c r="J52" s="575"/>
      <c r="K52" s="575"/>
      <c r="L52" s="583"/>
    </row>
    <row r="53" spans="1:12" ht="48" customHeight="1" x14ac:dyDescent="0.25">
      <c r="A53" s="573"/>
      <c r="B53" s="582" t="s">
        <v>1288</v>
      </c>
      <c r="C53" s="594">
        <f t="shared" si="10"/>
        <v>201.92</v>
      </c>
      <c r="D53" s="595">
        <v>0</v>
      </c>
      <c r="E53" s="594">
        <v>201.92</v>
      </c>
      <c r="F53" s="575"/>
      <c r="G53" s="575"/>
      <c r="H53" s="575"/>
      <c r="I53" s="575"/>
      <c r="J53" s="575"/>
      <c r="K53" s="575"/>
      <c r="L53" s="583"/>
    </row>
    <row r="54" spans="1:12" ht="71.25" customHeight="1" x14ac:dyDescent="0.25">
      <c r="A54" s="573"/>
      <c r="B54" s="582" t="s">
        <v>1289</v>
      </c>
      <c r="C54" s="594">
        <f t="shared" si="10"/>
        <v>264.14</v>
      </c>
      <c r="D54" s="595">
        <v>0</v>
      </c>
      <c r="E54" s="594">
        <v>264.14</v>
      </c>
      <c r="F54" s="575"/>
      <c r="G54" s="575"/>
      <c r="H54" s="575"/>
      <c r="I54" s="575"/>
      <c r="J54" s="575"/>
      <c r="K54" s="575"/>
      <c r="L54" s="583"/>
    </row>
    <row r="55" spans="1:12" ht="31.5" x14ac:dyDescent="0.25">
      <c r="A55" s="573"/>
      <c r="B55" s="582" t="s">
        <v>1290</v>
      </c>
      <c r="C55" s="594">
        <f t="shared" si="10"/>
        <v>628.11</v>
      </c>
      <c r="D55" s="595">
        <v>0</v>
      </c>
      <c r="E55" s="594">
        <v>628.11</v>
      </c>
      <c r="F55" s="575"/>
      <c r="G55" s="575"/>
      <c r="H55" s="575"/>
      <c r="I55" s="575"/>
      <c r="J55" s="575"/>
      <c r="K55" s="575"/>
      <c r="L55" s="583"/>
    </row>
    <row r="56" spans="1:12" ht="31.5" x14ac:dyDescent="0.25">
      <c r="A56" s="560" t="s">
        <v>1291</v>
      </c>
      <c r="B56" s="568" t="s">
        <v>314</v>
      </c>
      <c r="C56" s="591">
        <f>C57</f>
        <v>25743.9</v>
      </c>
      <c r="D56" s="591">
        <f t="shared" ref="D56:K56" si="11">D57</f>
        <v>0</v>
      </c>
      <c r="E56" s="591">
        <f t="shared" si="11"/>
        <v>25743.9</v>
      </c>
      <c r="F56" s="562">
        <f t="shared" si="11"/>
        <v>26343.9</v>
      </c>
      <c r="G56" s="562">
        <f t="shared" si="11"/>
        <v>0</v>
      </c>
      <c r="H56" s="562">
        <f t="shared" si="11"/>
        <v>26343.9</v>
      </c>
      <c r="I56" s="562">
        <f t="shared" si="11"/>
        <v>26343.9</v>
      </c>
      <c r="J56" s="562">
        <f t="shared" si="11"/>
        <v>0</v>
      </c>
      <c r="K56" s="562">
        <f t="shared" si="11"/>
        <v>26343.9</v>
      </c>
      <c r="L56" s="583"/>
    </row>
    <row r="57" spans="1:12" s="566" customFormat="1" ht="15.75" x14ac:dyDescent="0.25">
      <c r="A57" s="563"/>
      <c r="B57" s="567" t="s">
        <v>867</v>
      </c>
      <c r="C57" s="592">
        <f t="shared" si="10"/>
        <v>25743.9</v>
      </c>
      <c r="D57" s="592">
        <v>0</v>
      </c>
      <c r="E57" s="592">
        <v>25743.9</v>
      </c>
      <c r="F57" s="565">
        <f>G57+H57</f>
        <v>26343.9</v>
      </c>
      <c r="G57" s="565">
        <v>0</v>
      </c>
      <c r="H57" s="565">
        <v>26343.9</v>
      </c>
      <c r="I57" s="565">
        <f>J57+K57</f>
        <v>26343.9</v>
      </c>
      <c r="J57" s="584">
        <v>0</v>
      </c>
      <c r="K57" s="565">
        <v>26343.9</v>
      </c>
    </row>
    <row r="58" spans="1:12" s="559" customFormat="1" ht="47.25" x14ac:dyDescent="0.25">
      <c r="A58" s="556" t="s">
        <v>1292</v>
      </c>
      <c r="B58" s="557" t="s">
        <v>1293</v>
      </c>
      <c r="C58" s="590">
        <f>C60</f>
        <v>264.5</v>
      </c>
      <c r="D58" s="590">
        <v>0</v>
      </c>
      <c r="E58" s="590">
        <f>E60</f>
        <v>264.5</v>
      </c>
      <c r="F58" s="558">
        <f>H58</f>
        <v>200</v>
      </c>
      <c r="G58" s="558">
        <v>0</v>
      </c>
      <c r="H58" s="558">
        <f>H60</f>
        <v>200</v>
      </c>
      <c r="I58" s="558">
        <f>I60</f>
        <v>200</v>
      </c>
      <c r="J58" s="585">
        <v>0</v>
      </c>
      <c r="K58" s="558">
        <f>K60</f>
        <v>200</v>
      </c>
    </row>
    <row r="59" spans="1:12" s="559" customFormat="1" ht="63" x14ac:dyDescent="0.25">
      <c r="A59" s="560" t="s">
        <v>1294</v>
      </c>
      <c r="B59" s="561" t="s">
        <v>324</v>
      </c>
      <c r="C59" s="591">
        <f>C60</f>
        <v>264.5</v>
      </c>
      <c r="D59" s="591">
        <f t="shared" ref="D59:K59" si="12">D60</f>
        <v>0</v>
      </c>
      <c r="E59" s="591">
        <f t="shared" si="12"/>
        <v>264.5</v>
      </c>
      <c r="F59" s="562">
        <f t="shared" si="12"/>
        <v>200</v>
      </c>
      <c r="G59" s="562">
        <f t="shared" si="12"/>
        <v>0</v>
      </c>
      <c r="H59" s="562">
        <f t="shared" si="12"/>
        <v>200</v>
      </c>
      <c r="I59" s="562">
        <f t="shared" si="12"/>
        <v>200</v>
      </c>
      <c r="J59" s="562">
        <f t="shared" si="12"/>
        <v>0</v>
      </c>
      <c r="K59" s="562">
        <f t="shared" si="12"/>
        <v>200</v>
      </c>
    </row>
    <row r="60" spans="1:12" ht="47.25" x14ac:dyDescent="0.25">
      <c r="A60" s="573"/>
      <c r="B60" s="581" t="s">
        <v>1295</v>
      </c>
      <c r="C60" s="595">
        <f>E60</f>
        <v>264.5</v>
      </c>
      <c r="D60" s="595">
        <v>0</v>
      </c>
      <c r="E60" s="595">
        <v>264.5</v>
      </c>
      <c r="F60" s="575">
        <f>H60</f>
        <v>200</v>
      </c>
      <c r="G60" s="575">
        <v>0</v>
      </c>
      <c r="H60" s="575">
        <v>200</v>
      </c>
      <c r="I60" s="575">
        <f>K60</f>
        <v>200</v>
      </c>
      <c r="J60" s="586">
        <v>0</v>
      </c>
      <c r="K60" s="586">
        <v>200</v>
      </c>
    </row>
    <row r="61" spans="1:12" ht="15.75" x14ac:dyDescent="0.25">
      <c r="A61" s="587"/>
      <c r="B61" s="588"/>
      <c r="C61" s="589"/>
      <c r="D61" s="589"/>
      <c r="E61" s="589"/>
      <c r="F61" s="589"/>
      <c r="G61" s="589"/>
      <c r="H61" s="589"/>
      <c r="I61" s="589"/>
      <c r="J61" s="589"/>
      <c r="K61" s="589"/>
    </row>
  </sheetData>
  <mergeCells count="14">
    <mergeCell ref="F10:F11"/>
    <mergeCell ref="G10:H10"/>
    <mergeCell ref="I10:I11"/>
    <mergeCell ref="J10:K10"/>
    <mergeCell ref="I1:K1"/>
    <mergeCell ref="I2:K2"/>
    <mergeCell ref="I3:K3"/>
    <mergeCell ref="I4:K4"/>
    <mergeCell ref="A6:K6"/>
    <mergeCell ref="A8:A11"/>
    <mergeCell ref="B8:B11"/>
    <mergeCell ref="C8:K9"/>
    <mergeCell ref="C10:C11"/>
    <mergeCell ref="D10:E10"/>
  </mergeCells>
  <pageMargins left="0.70866141732283472" right="0.70866141732283472" top="1.1417322834645669" bottom="0.35433070866141736" header="0.31496062992125984" footer="0.31496062992125984"/>
  <pageSetup paperSize="9" scale="63" orientation="landscape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FF0000"/>
  </sheetPr>
  <dimension ref="A1:E19"/>
  <sheetViews>
    <sheetView tabSelected="1" view="pageBreakPreview" zoomScale="83" zoomScaleNormal="80" zoomScaleSheetLayoutView="83" workbookViewId="0">
      <selection activeCell="B6" sqref="B6:E6"/>
    </sheetView>
  </sheetViews>
  <sheetFormatPr defaultRowHeight="15" x14ac:dyDescent="0.25"/>
  <cols>
    <col min="1" max="1" width="25" customWidth="1"/>
    <col min="2" max="2" width="39" customWidth="1"/>
    <col min="3" max="3" width="11.85546875" customWidth="1"/>
    <col min="4" max="4" width="12.140625" customWidth="1"/>
    <col min="5" max="5" width="11.5703125" customWidth="1"/>
  </cols>
  <sheetData>
    <row r="1" spans="1:5" x14ac:dyDescent="0.25">
      <c r="A1" s="1"/>
      <c r="B1" s="1"/>
      <c r="C1" s="656" t="s">
        <v>969</v>
      </c>
      <c r="D1" s="656"/>
      <c r="E1" s="656"/>
    </row>
    <row r="2" spans="1:5" ht="30" customHeight="1" x14ac:dyDescent="0.25">
      <c r="A2" s="1"/>
      <c r="B2" s="35"/>
      <c r="C2" s="646" t="s">
        <v>503</v>
      </c>
      <c r="D2" s="646"/>
      <c r="E2" s="646"/>
    </row>
    <row r="3" spans="1:5" ht="17.25" customHeight="1" x14ac:dyDescent="0.25">
      <c r="A3" s="1"/>
      <c r="B3" s="36"/>
      <c r="C3" s="655" t="s">
        <v>460</v>
      </c>
      <c r="D3" s="655"/>
      <c r="E3" s="655"/>
    </row>
    <row r="4" spans="1:5" ht="18.75" customHeight="1" x14ac:dyDescent="0.25">
      <c r="A4" s="1"/>
      <c r="B4" s="390"/>
      <c r="C4" s="655" t="s">
        <v>1306</v>
      </c>
      <c r="D4" s="655"/>
      <c r="E4" s="655"/>
    </row>
    <row r="5" spans="1:5" ht="45" customHeight="1" x14ac:dyDescent="0.25">
      <c r="A5" s="653" t="s">
        <v>966</v>
      </c>
      <c r="B5" s="653"/>
      <c r="C5" s="653"/>
      <c r="D5" s="653"/>
      <c r="E5" s="653"/>
    </row>
    <row r="6" spans="1:5" ht="23.25" customHeight="1" x14ac:dyDescent="0.25">
      <c r="A6" s="1"/>
      <c r="B6" s="654" t="s">
        <v>3</v>
      </c>
      <c r="C6" s="654"/>
      <c r="D6" s="654"/>
      <c r="E6" s="654"/>
    </row>
    <row r="7" spans="1:5" ht="71.25" x14ac:dyDescent="0.25">
      <c r="A7" s="16" t="s">
        <v>413</v>
      </c>
      <c r="B7" s="16" t="s">
        <v>414</v>
      </c>
      <c r="C7" s="16" t="s">
        <v>0</v>
      </c>
      <c r="D7" s="16" t="s">
        <v>2</v>
      </c>
      <c r="E7" s="16" t="s">
        <v>743</v>
      </c>
    </row>
    <row r="8" spans="1:5" ht="14.45" hidden="1" x14ac:dyDescent="0.3">
      <c r="A8" s="17"/>
      <c r="B8" s="17"/>
      <c r="C8" s="17"/>
      <c r="D8" s="17"/>
      <c r="E8" s="17"/>
    </row>
    <row r="9" spans="1:5" ht="45" x14ac:dyDescent="0.25">
      <c r="A9" s="18" t="s">
        <v>415</v>
      </c>
      <c r="B9" s="21" t="s">
        <v>416</v>
      </c>
      <c r="C9" s="548">
        <f>C10</f>
        <v>33525.955999999656</v>
      </c>
      <c r="D9" s="23">
        <f>D10</f>
        <v>-2.3283064365386963E-10</v>
      </c>
      <c r="E9" s="23">
        <f>E10</f>
        <v>-1.1641532182693481E-10</v>
      </c>
    </row>
    <row r="10" spans="1:5" ht="30" x14ac:dyDescent="0.25">
      <c r="A10" s="18" t="s">
        <v>4</v>
      </c>
      <c r="B10" s="21" t="s">
        <v>417</v>
      </c>
      <c r="C10" s="548">
        <f>(C14+C15)</f>
        <v>33525.955999999656</v>
      </c>
      <c r="D10" s="23">
        <f>(D14+D15)</f>
        <v>-2.3283064365386963E-10</v>
      </c>
      <c r="E10" s="23">
        <f>(E14+E15)</f>
        <v>-1.1641532182693481E-10</v>
      </c>
    </row>
    <row r="11" spans="1:5" ht="34.5" customHeight="1" x14ac:dyDescent="0.25">
      <c r="A11" s="17" t="s">
        <v>418</v>
      </c>
      <c r="B11" s="22" t="s">
        <v>419</v>
      </c>
      <c r="C11" s="549">
        <f t="shared" ref="C11:E12" si="0">C12</f>
        <v>-878148.245</v>
      </c>
      <c r="D11" s="24">
        <f t="shared" si="0"/>
        <v>-787526.2</v>
      </c>
      <c r="E11" s="24">
        <f t="shared" si="0"/>
        <v>-751686.90000000014</v>
      </c>
    </row>
    <row r="12" spans="1:5" ht="30" x14ac:dyDescent="0.25">
      <c r="A12" s="17" t="s">
        <v>420</v>
      </c>
      <c r="B12" s="22" t="s">
        <v>421</v>
      </c>
      <c r="C12" s="549">
        <f t="shared" si="0"/>
        <v>-878148.245</v>
      </c>
      <c r="D12" s="24">
        <f t="shared" si="0"/>
        <v>-787526.2</v>
      </c>
      <c r="E12" s="24">
        <f t="shared" si="0"/>
        <v>-751686.90000000014</v>
      </c>
    </row>
    <row r="13" spans="1:5" ht="30" x14ac:dyDescent="0.25">
      <c r="A13" s="17" t="s">
        <v>422</v>
      </c>
      <c r="B13" s="22" t="s">
        <v>423</v>
      </c>
      <c r="C13" s="549">
        <f>C14</f>
        <v>-878148.245</v>
      </c>
      <c r="D13" s="24">
        <f>D14</f>
        <v>-787526.2</v>
      </c>
      <c r="E13" s="24">
        <f>E14</f>
        <v>-751686.90000000014</v>
      </c>
    </row>
    <row r="14" spans="1:5" ht="45" x14ac:dyDescent="0.25">
      <c r="A14" s="17" t="s">
        <v>722</v>
      </c>
      <c r="B14" s="22" t="s">
        <v>1013</v>
      </c>
      <c r="C14" s="549">
        <f>'Приложение 1'!E215*-1</f>
        <v>-878148.245</v>
      </c>
      <c r="D14" s="24">
        <f>'Приложение 1'!H215*-1</f>
        <v>-787526.2</v>
      </c>
      <c r="E14" s="24">
        <f>'Приложение 1'!K215*-1</f>
        <v>-751686.90000000014</v>
      </c>
    </row>
    <row r="15" spans="1:5" ht="30" customHeight="1" x14ac:dyDescent="0.25">
      <c r="A15" s="17" t="s">
        <v>424</v>
      </c>
      <c r="B15" s="22" t="s">
        <v>425</v>
      </c>
      <c r="C15" s="549">
        <f>C16</f>
        <v>911674.20099999965</v>
      </c>
      <c r="D15" s="24">
        <f>D18</f>
        <v>787526.19999999972</v>
      </c>
      <c r="E15" s="24">
        <f>E18</f>
        <v>751686.9</v>
      </c>
    </row>
    <row r="16" spans="1:5" ht="30" x14ac:dyDescent="0.25">
      <c r="A16" s="17" t="s">
        <v>426</v>
      </c>
      <c r="B16" s="22" t="s">
        <v>427</v>
      </c>
      <c r="C16" s="549">
        <f>C17</f>
        <v>911674.20099999965</v>
      </c>
      <c r="D16" s="24">
        <f>D18</f>
        <v>787526.19999999972</v>
      </c>
      <c r="E16" s="24">
        <f>E18</f>
        <v>751686.9</v>
      </c>
    </row>
    <row r="17" spans="1:5" ht="30" x14ac:dyDescent="0.25">
      <c r="A17" s="17" t="s">
        <v>428</v>
      </c>
      <c r="B17" s="22" t="s">
        <v>429</v>
      </c>
      <c r="C17" s="549">
        <f>C18</f>
        <v>911674.20099999965</v>
      </c>
      <c r="D17" s="24">
        <f>D18</f>
        <v>787526.19999999972</v>
      </c>
      <c r="E17" s="24">
        <f>E18</f>
        <v>751686.9</v>
      </c>
    </row>
    <row r="18" spans="1:5" ht="45" x14ac:dyDescent="0.25">
      <c r="A18" s="17" t="s">
        <v>723</v>
      </c>
      <c r="B18" s="22" t="s">
        <v>1012</v>
      </c>
      <c r="C18" s="549">
        <f>'Приложение 2'!F685</f>
        <v>911674.20099999965</v>
      </c>
      <c r="D18" s="24">
        <f>'Приложение 2'!I685+2073.1</f>
        <v>787526.19999999972</v>
      </c>
      <c r="E18" s="24">
        <f>'Приложение 2'!L685+25630</f>
        <v>751686.9</v>
      </c>
    </row>
    <row r="19" spans="1:5" ht="27" customHeight="1" x14ac:dyDescent="0.25">
      <c r="A19" s="19"/>
      <c r="B19" s="20" t="s">
        <v>411</v>
      </c>
      <c r="C19" s="550">
        <f>C9</f>
        <v>33525.955999999656</v>
      </c>
      <c r="D19" s="25">
        <f>D9</f>
        <v>-2.3283064365386963E-10</v>
      </c>
      <c r="E19" s="25">
        <f>E9</f>
        <v>-1.1641532182693481E-10</v>
      </c>
    </row>
  </sheetData>
  <mergeCells count="6">
    <mergeCell ref="A5:E5"/>
    <mergeCell ref="B6:E6"/>
    <mergeCell ref="C4:E4"/>
    <mergeCell ref="C1:E1"/>
    <mergeCell ref="C3:E3"/>
    <mergeCell ref="C2:E2"/>
  </mergeCells>
  <pageMargins left="0.98425196850393704" right="0.19685039370078741" top="0.74803149606299213" bottom="0.74803149606299213" header="0" footer="0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5"/>
  <sheetViews>
    <sheetView view="pageBreakPreview" topLeftCell="A58" zoomScale="60" workbookViewId="0">
      <selection activeCell="D5" sqref="D5"/>
    </sheetView>
  </sheetViews>
  <sheetFormatPr defaultRowHeight="15" x14ac:dyDescent="0.25"/>
  <cols>
    <col min="1" max="1" width="17.42578125" customWidth="1"/>
    <col min="2" max="2" width="45.42578125" customWidth="1"/>
    <col min="4" max="4" width="14.140625" customWidth="1"/>
    <col min="5" max="5" width="11.140625" bestFit="1" customWidth="1"/>
  </cols>
  <sheetData>
    <row r="1" spans="1:5" x14ac:dyDescent="0.25">
      <c r="D1" t="s">
        <v>1200</v>
      </c>
      <c r="E1" t="s">
        <v>1201</v>
      </c>
    </row>
    <row r="2" spans="1:5" x14ac:dyDescent="0.25">
      <c r="A2" s="667" t="s">
        <v>29</v>
      </c>
      <c r="B2" s="672" t="s">
        <v>1212</v>
      </c>
      <c r="C2" s="603">
        <v>100</v>
      </c>
      <c r="D2" s="604">
        <v>140.6</v>
      </c>
      <c r="E2" s="605"/>
    </row>
    <row r="3" spans="1:5" x14ac:dyDescent="0.25">
      <c r="A3" s="668"/>
      <c r="B3" s="673"/>
      <c r="C3" s="603">
        <v>300</v>
      </c>
      <c r="D3" s="604">
        <v>27.1</v>
      </c>
      <c r="E3" s="605"/>
    </row>
    <row r="4" spans="1:5" x14ac:dyDescent="0.25">
      <c r="A4" s="667" t="s">
        <v>31</v>
      </c>
      <c r="B4" s="675" t="s">
        <v>988</v>
      </c>
      <c r="C4" s="606">
        <v>100</v>
      </c>
      <c r="D4" s="607">
        <f>428.3-140.6</f>
        <v>287.70000000000005</v>
      </c>
      <c r="E4" s="605"/>
    </row>
    <row r="5" spans="1:5" x14ac:dyDescent="0.25">
      <c r="A5" s="674"/>
      <c r="B5" s="676"/>
      <c r="C5" s="606">
        <v>200</v>
      </c>
      <c r="D5" s="607">
        <f>25.8+7.1-35.6</f>
        <v>-2.7000000000000028</v>
      </c>
      <c r="E5" s="605"/>
    </row>
    <row r="6" spans="1:5" x14ac:dyDescent="0.25">
      <c r="A6" s="668"/>
      <c r="B6" s="677"/>
      <c r="C6" s="606">
        <v>800</v>
      </c>
      <c r="D6" s="607">
        <f>18.3+35.6</f>
        <v>53.900000000000006</v>
      </c>
      <c r="E6" s="608"/>
    </row>
    <row r="7" spans="1:5" ht="39" x14ac:dyDescent="0.25">
      <c r="A7" s="609" t="s">
        <v>35</v>
      </c>
      <c r="B7" s="610" t="s">
        <v>36</v>
      </c>
      <c r="C7" s="606">
        <v>300</v>
      </c>
      <c r="D7" s="607">
        <v>8.8000000000000007</v>
      </c>
      <c r="E7" s="608"/>
    </row>
    <row r="8" spans="1:5" ht="36" customHeight="1" x14ac:dyDescent="0.25">
      <c r="A8" s="611" t="s">
        <v>54</v>
      </c>
      <c r="B8" s="610" t="s">
        <v>55</v>
      </c>
      <c r="C8" s="606">
        <v>100</v>
      </c>
      <c r="D8" s="608"/>
      <c r="E8" s="607">
        <v>54.5</v>
      </c>
    </row>
    <row r="9" spans="1:5" ht="38.25" customHeight="1" x14ac:dyDescent="0.25">
      <c r="A9" s="678" t="s">
        <v>50</v>
      </c>
      <c r="B9" s="675" t="s">
        <v>1203</v>
      </c>
      <c r="C9" s="606">
        <v>100</v>
      </c>
      <c r="D9" s="608"/>
      <c r="E9" s="607">
        <v>140.6</v>
      </c>
    </row>
    <row r="10" spans="1:5" x14ac:dyDescent="0.25">
      <c r="A10" s="679"/>
      <c r="B10" s="677"/>
      <c r="C10" s="606">
        <v>200</v>
      </c>
      <c r="D10" s="608"/>
      <c r="E10" s="607">
        <v>227.2</v>
      </c>
    </row>
    <row r="11" spans="1:5" ht="51.75" x14ac:dyDescent="0.25">
      <c r="A11" s="611" t="s">
        <v>66</v>
      </c>
      <c r="B11" s="610" t="s">
        <v>914</v>
      </c>
      <c r="C11" s="606">
        <v>600</v>
      </c>
      <c r="D11" s="608"/>
      <c r="E11" s="607">
        <f>306.5+926</f>
        <v>1232.5</v>
      </c>
    </row>
    <row r="12" spans="1:5" ht="64.5" x14ac:dyDescent="0.25">
      <c r="A12" s="611" t="s">
        <v>68</v>
      </c>
      <c r="B12" s="610" t="s">
        <v>69</v>
      </c>
      <c r="C12" s="606">
        <v>600</v>
      </c>
      <c r="D12" s="608"/>
      <c r="E12" s="607">
        <v>139.797</v>
      </c>
    </row>
    <row r="13" spans="1:5" ht="64.5" x14ac:dyDescent="0.25">
      <c r="A13" s="611" t="s">
        <v>84</v>
      </c>
      <c r="B13" s="610" t="s">
        <v>67</v>
      </c>
      <c r="C13" s="606">
        <v>600</v>
      </c>
      <c r="D13" s="608"/>
      <c r="E13" s="607">
        <f>5919.08+968</f>
        <v>6887.08</v>
      </c>
    </row>
    <row r="14" spans="1:5" ht="25.5" x14ac:dyDescent="0.25">
      <c r="A14" s="612" t="s">
        <v>100</v>
      </c>
      <c r="B14" s="613" t="s">
        <v>973</v>
      </c>
      <c r="C14" s="606">
        <v>600</v>
      </c>
      <c r="D14" s="608"/>
      <c r="E14" s="607">
        <v>-933.8</v>
      </c>
    </row>
    <row r="15" spans="1:5" ht="26.25" x14ac:dyDescent="0.25">
      <c r="A15" s="612" t="s">
        <v>101</v>
      </c>
      <c r="B15" s="610" t="s">
        <v>974</v>
      </c>
      <c r="C15" s="606">
        <v>600</v>
      </c>
      <c r="D15" s="608"/>
      <c r="E15" s="607">
        <v>-960.2</v>
      </c>
    </row>
    <row r="16" spans="1:5" ht="26.25" x14ac:dyDescent="0.25">
      <c r="A16" s="611" t="s">
        <v>92</v>
      </c>
      <c r="B16" s="610" t="s">
        <v>93</v>
      </c>
      <c r="C16" s="606">
        <v>600</v>
      </c>
      <c r="D16" s="607">
        <v>177.4</v>
      </c>
      <c r="E16" s="608"/>
    </row>
    <row r="17" spans="1:5" ht="51.75" x14ac:dyDescent="0.25">
      <c r="A17" s="611" t="s">
        <v>96</v>
      </c>
      <c r="B17" s="610" t="s">
        <v>97</v>
      </c>
      <c r="C17" s="606">
        <v>600</v>
      </c>
      <c r="D17" s="607">
        <v>-13.8</v>
      </c>
      <c r="E17" s="608"/>
    </row>
    <row r="18" spans="1:5" ht="39" x14ac:dyDescent="0.25">
      <c r="A18" s="611" t="s">
        <v>98</v>
      </c>
      <c r="B18" s="610" t="s">
        <v>99</v>
      </c>
      <c r="C18" s="606">
        <v>600</v>
      </c>
      <c r="D18" s="607">
        <v>-80</v>
      </c>
      <c r="E18" s="608"/>
    </row>
    <row r="19" spans="1:5" ht="39" x14ac:dyDescent="0.25">
      <c r="A19" s="611" t="s">
        <v>443</v>
      </c>
      <c r="B19" s="610" t="s">
        <v>977</v>
      </c>
      <c r="C19" s="606">
        <v>600</v>
      </c>
      <c r="D19" s="607"/>
      <c r="E19" s="608">
        <v>-347.81799999999998</v>
      </c>
    </row>
    <row r="20" spans="1:5" ht="38.25" x14ac:dyDescent="0.25">
      <c r="A20" s="611" t="s">
        <v>1009</v>
      </c>
      <c r="B20" s="614" t="s">
        <v>1019</v>
      </c>
      <c r="C20" s="606">
        <v>400</v>
      </c>
      <c r="D20" s="607">
        <v>0.04</v>
      </c>
      <c r="E20" s="607">
        <v>-0.04</v>
      </c>
    </row>
    <row r="21" spans="1:5" ht="49.5" customHeight="1" x14ac:dyDescent="0.25">
      <c r="A21" s="611" t="s">
        <v>1219</v>
      </c>
      <c r="B21" s="615" t="s">
        <v>1220</v>
      </c>
      <c r="C21" s="606">
        <v>600</v>
      </c>
      <c r="D21" s="607"/>
      <c r="E21" s="607">
        <v>137.334</v>
      </c>
    </row>
    <row r="22" spans="1:5" ht="26.25" x14ac:dyDescent="0.25">
      <c r="A22" s="611" t="s">
        <v>775</v>
      </c>
      <c r="B22" s="610" t="s">
        <v>1147</v>
      </c>
      <c r="C22" s="606">
        <v>600</v>
      </c>
      <c r="D22" s="607">
        <v>-83.6</v>
      </c>
      <c r="E22" s="608"/>
    </row>
    <row r="23" spans="1:5" x14ac:dyDescent="0.25">
      <c r="A23" s="667" t="s">
        <v>123</v>
      </c>
      <c r="B23" s="663" t="s">
        <v>124</v>
      </c>
      <c r="C23" s="606">
        <v>600</v>
      </c>
      <c r="D23" s="608"/>
      <c r="E23" s="607">
        <v>66.599999999999994</v>
      </c>
    </row>
    <row r="24" spans="1:5" x14ac:dyDescent="0.25">
      <c r="A24" s="668"/>
      <c r="B24" s="664"/>
      <c r="C24" s="606">
        <v>800</v>
      </c>
      <c r="D24" s="608"/>
      <c r="E24" s="607">
        <v>-66.599999999999994</v>
      </c>
    </row>
    <row r="25" spans="1:5" ht="33.75" customHeight="1" x14ac:dyDescent="0.25">
      <c r="A25" s="667" t="s">
        <v>135</v>
      </c>
      <c r="B25" s="663" t="s">
        <v>1190</v>
      </c>
      <c r="C25" s="606">
        <v>300</v>
      </c>
      <c r="D25" s="608"/>
      <c r="E25" s="607">
        <v>-12.88</v>
      </c>
    </row>
    <row r="26" spans="1:5" x14ac:dyDescent="0.25">
      <c r="A26" s="668"/>
      <c r="B26" s="664"/>
      <c r="C26" s="606">
        <v>600</v>
      </c>
      <c r="D26" s="608"/>
      <c r="E26" s="607">
        <v>-131.11099999999999</v>
      </c>
    </row>
    <row r="27" spans="1:5" ht="71.25" customHeight="1" x14ac:dyDescent="0.25">
      <c r="A27" s="667" t="s">
        <v>136</v>
      </c>
      <c r="B27" s="663" t="s">
        <v>430</v>
      </c>
      <c r="C27" s="606">
        <v>300</v>
      </c>
      <c r="D27" s="608"/>
      <c r="E27" s="607">
        <f>12.1+738.9</f>
        <v>751</v>
      </c>
    </row>
    <row r="28" spans="1:5" x14ac:dyDescent="0.25">
      <c r="A28" s="668"/>
      <c r="B28" s="664"/>
      <c r="C28" s="606">
        <v>600</v>
      </c>
      <c r="D28" s="608"/>
      <c r="E28" s="607">
        <v>-12.1</v>
      </c>
    </row>
    <row r="29" spans="1:5" ht="39" x14ac:dyDescent="0.25">
      <c r="A29" s="611" t="s">
        <v>143</v>
      </c>
      <c r="B29" s="610" t="s">
        <v>144</v>
      </c>
      <c r="C29" s="606">
        <v>600</v>
      </c>
      <c r="D29" s="608">
        <v>4.8000000000000001E-2</v>
      </c>
      <c r="E29" s="607">
        <v>4.3999999999999997E-2</v>
      </c>
    </row>
    <row r="30" spans="1:5" ht="39" x14ac:dyDescent="0.25">
      <c r="A30" s="616" t="s">
        <v>1208</v>
      </c>
      <c r="B30" s="615" t="s">
        <v>1209</v>
      </c>
      <c r="C30" s="606">
        <v>600</v>
      </c>
      <c r="D30" s="608"/>
      <c r="E30" s="607">
        <v>5</v>
      </c>
    </row>
    <row r="31" spans="1:5" x14ac:dyDescent="0.25">
      <c r="A31" s="611" t="s">
        <v>170</v>
      </c>
      <c r="B31" s="610" t="s">
        <v>464</v>
      </c>
      <c r="C31" s="606">
        <v>300</v>
      </c>
      <c r="D31" s="608"/>
      <c r="E31" s="607">
        <v>8.0000000000000002E-3</v>
      </c>
    </row>
    <row r="32" spans="1:5" ht="64.5" x14ac:dyDescent="0.25">
      <c r="A32" s="617" t="s">
        <v>171</v>
      </c>
      <c r="B32" s="610" t="s">
        <v>172</v>
      </c>
      <c r="C32" s="606">
        <v>300</v>
      </c>
      <c r="D32" s="608">
        <v>-111.693</v>
      </c>
      <c r="E32" s="607">
        <v>-255.95</v>
      </c>
    </row>
    <row r="33" spans="1:5" ht="39" x14ac:dyDescent="0.25">
      <c r="A33" s="611" t="s">
        <v>182</v>
      </c>
      <c r="B33" s="610" t="s">
        <v>183</v>
      </c>
      <c r="C33" s="606">
        <v>200</v>
      </c>
      <c r="D33" s="608"/>
      <c r="E33" s="607">
        <v>-3.0000000000000001E-3</v>
      </c>
    </row>
    <row r="34" spans="1:5" ht="90" x14ac:dyDescent="0.25">
      <c r="A34" s="611" t="s">
        <v>184</v>
      </c>
      <c r="B34" s="618" t="s">
        <v>185</v>
      </c>
      <c r="C34" s="606">
        <v>400</v>
      </c>
      <c r="D34" s="608"/>
      <c r="E34" s="607">
        <v>-1.6E-2</v>
      </c>
    </row>
    <row r="35" spans="1:5" ht="51.75" x14ac:dyDescent="0.25">
      <c r="A35" s="611" t="s">
        <v>999</v>
      </c>
      <c r="B35" s="610" t="s">
        <v>1000</v>
      </c>
      <c r="C35" s="606">
        <v>300</v>
      </c>
      <c r="D35" s="608">
        <v>-5.0000000000000001E-3</v>
      </c>
      <c r="E35" s="607">
        <v>8.0000000000000002E-3</v>
      </c>
    </row>
    <row r="36" spans="1:5" ht="39" x14ac:dyDescent="0.25">
      <c r="A36" s="616" t="s">
        <v>1064</v>
      </c>
      <c r="B36" s="615" t="s">
        <v>1065</v>
      </c>
      <c r="C36" s="606">
        <v>200</v>
      </c>
      <c r="D36" s="608">
        <v>4.0000000000000001E-3</v>
      </c>
      <c r="E36" s="608">
        <v>0.03</v>
      </c>
    </row>
    <row r="37" spans="1:5" ht="42.75" customHeight="1" x14ac:dyDescent="0.25">
      <c r="A37" s="667" t="s">
        <v>732</v>
      </c>
      <c r="B37" s="663" t="s">
        <v>441</v>
      </c>
      <c r="C37" s="606">
        <v>200</v>
      </c>
      <c r="D37" s="607">
        <v>-94.2</v>
      </c>
      <c r="E37" s="608"/>
    </row>
    <row r="38" spans="1:5" x14ac:dyDescent="0.25">
      <c r="A38" s="668"/>
      <c r="B38" s="664"/>
      <c r="C38" s="606">
        <v>800</v>
      </c>
      <c r="D38" s="607">
        <v>25.7</v>
      </c>
      <c r="E38" s="608"/>
    </row>
    <row r="39" spans="1:5" x14ac:dyDescent="0.25">
      <c r="A39" s="667" t="s">
        <v>734</v>
      </c>
      <c r="B39" s="669" t="s">
        <v>502</v>
      </c>
      <c r="C39" s="606">
        <v>200</v>
      </c>
      <c r="D39" s="607">
        <v>181.9</v>
      </c>
      <c r="E39" s="608"/>
    </row>
    <row r="40" spans="1:5" x14ac:dyDescent="0.25">
      <c r="A40" s="668"/>
      <c r="B40" s="670"/>
      <c r="C40" s="606">
        <v>300</v>
      </c>
      <c r="D40" s="607">
        <v>-401.4</v>
      </c>
      <c r="E40" s="608"/>
    </row>
    <row r="41" spans="1:5" ht="39" x14ac:dyDescent="0.25">
      <c r="A41" s="611" t="s">
        <v>735</v>
      </c>
      <c r="B41" s="610" t="s">
        <v>1078</v>
      </c>
      <c r="C41" s="606">
        <v>200</v>
      </c>
      <c r="D41" s="607">
        <v>-159.80000000000001</v>
      </c>
      <c r="E41" s="608"/>
    </row>
    <row r="42" spans="1:5" ht="39" x14ac:dyDescent="0.25">
      <c r="A42" s="616" t="s">
        <v>1098</v>
      </c>
      <c r="B42" s="619" t="s">
        <v>1099</v>
      </c>
      <c r="C42" s="606">
        <v>600</v>
      </c>
      <c r="D42" s="607">
        <v>-5</v>
      </c>
      <c r="E42" s="608"/>
    </row>
    <row r="43" spans="1:5" ht="39" x14ac:dyDescent="0.25">
      <c r="A43" s="616" t="s">
        <v>1097</v>
      </c>
      <c r="B43" s="615" t="s">
        <v>1106</v>
      </c>
      <c r="C43" s="606">
        <v>600</v>
      </c>
      <c r="D43" s="607">
        <v>-38.799999999999997</v>
      </c>
      <c r="E43" s="608"/>
    </row>
    <row r="44" spans="1:5" ht="77.25" x14ac:dyDescent="0.25">
      <c r="A44" s="611" t="s">
        <v>225</v>
      </c>
      <c r="B44" s="610" t="s">
        <v>226</v>
      </c>
      <c r="C44" s="606">
        <v>600</v>
      </c>
      <c r="D44" s="607">
        <v>1.0999999999999999E-2</v>
      </c>
      <c r="E44" s="608">
        <v>3.3000000000000002E-2</v>
      </c>
    </row>
    <row r="45" spans="1:5" ht="51.75" x14ac:dyDescent="0.25">
      <c r="A45" s="616" t="s">
        <v>1054</v>
      </c>
      <c r="B45" s="615" t="s">
        <v>1003</v>
      </c>
      <c r="C45" s="606">
        <v>600</v>
      </c>
      <c r="D45" s="607"/>
      <c r="E45" s="607">
        <v>5.1999999999999602E-2</v>
      </c>
    </row>
    <row r="46" spans="1:5" x14ac:dyDescent="0.25">
      <c r="A46" s="620" t="s">
        <v>1047</v>
      </c>
      <c r="B46" s="621" t="s">
        <v>1048</v>
      </c>
      <c r="C46" s="606">
        <v>600</v>
      </c>
      <c r="D46" s="607"/>
      <c r="E46" s="608">
        <v>2.5999999999999999E-2</v>
      </c>
    </row>
    <row r="47" spans="1:5" ht="51.75" x14ac:dyDescent="0.25">
      <c r="A47" s="611" t="s">
        <v>236</v>
      </c>
      <c r="B47" s="610" t="s">
        <v>237</v>
      </c>
      <c r="C47" s="606">
        <v>600</v>
      </c>
      <c r="D47" s="607">
        <v>-0.1</v>
      </c>
      <c r="E47" s="608"/>
    </row>
    <row r="48" spans="1:5" ht="64.5" x14ac:dyDescent="0.25">
      <c r="A48" s="611" t="s">
        <v>242</v>
      </c>
      <c r="B48" s="610" t="s">
        <v>467</v>
      </c>
      <c r="C48" s="606">
        <v>600</v>
      </c>
      <c r="D48" s="607">
        <v>115.7</v>
      </c>
      <c r="E48" s="608"/>
    </row>
    <row r="49" spans="1:5" ht="26.25" x14ac:dyDescent="0.25">
      <c r="A49" s="616" t="s">
        <v>1006</v>
      </c>
      <c r="B49" s="615" t="s">
        <v>1007</v>
      </c>
      <c r="C49" s="606">
        <v>600</v>
      </c>
      <c r="D49" s="607"/>
      <c r="E49" s="608">
        <v>-4.5999999999999999E-2</v>
      </c>
    </row>
    <row r="50" spans="1:5" x14ac:dyDescent="0.25">
      <c r="A50" s="616" t="s">
        <v>1153</v>
      </c>
      <c r="B50" s="615" t="s">
        <v>1154</v>
      </c>
      <c r="C50" s="606">
        <v>600</v>
      </c>
      <c r="D50" s="607">
        <v>-0.04</v>
      </c>
      <c r="E50" s="608">
        <v>-0.02</v>
      </c>
    </row>
    <row r="51" spans="1:5" ht="51.75" x14ac:dyDescent="0.25">
      <c r="A51" s="611" t="s">
        <v>245</v>
      </c>
      <c r="B51" s="610" t="s">
        <v>246</v>
      </c>
      <c r="C51" s="606">
        <v>600</v>
      </c>
      <c r="D51" s="607">
        <v>4.1000000000000002E-2</v>
      </c>
      <c r="E51" s="608">
        <v>2.5000000000000001E-2</v>
      </c>
    </row>
    <row r="52" spans="1:5" ht="64.5" x14ac:dyDescent="0.25">
      <c r="A52" s="611" t="s">
        <v>1055</v>
      </c>
      <c r="B52" s="622" t="s">
        <v>1072</v>
      </c>
      <c r="C52" s="606">
        <v>300</v>
      </c>
      <c r="D52" s="607">
        <v>-0.04</v>
      </c>
      <c r="E52" s="608">
        <v>-3.0000000000000001E-3</v>
      </c>
    </row>
    <row r="53" spans="1:5" ht="39" x14ac:dyDescent="0.25">
      <c r="A53" s="611" t="s">
        <v>1056</v>
      </c>
      <c r="B53" s="623" t="s">
        <v>1073</v>
      </c>
      <c r="C53" s="606">
        <v>200</v>
      </c>
      <c r="D53" s="607">
        <v>1.0999999999999999E-2</v>
      </c>
      <c r="E53" s="608">
        <v>-4.1000000000000002E-2</v>
      </c>
    </row>
    <row r="54" spans="1:5" x14ac:dyDescent="0.25">
      <c r="A54" s="667" t="s">
        <v>275</v>
      </c>
      <c r="B54" s="663" t="s">
        <v>782</v>
      </c>
      <c r="C54" s="606">
        <v>200</v>
      </c>
      <c r="D54" s="608">
        <v>-26.082000000000001</v>
      </c>
      <c r="E54" s="608">
        <v>-27.568999999999999</v>
      </c>
    </row>
    <row r="55" spans="1:5" x14ac:dyDescent="0.25">
      <c r="A55" s="668"/>
      <c r="B55" s="664"/>
      <c r="C55" s="606">
        <v>800</v>
      </c>
      <c r="D55" s="608"/>
      <c r="E55" s="608">
        <v>27.513999999999999</v>
      </c>
    </row>
    <row r="56" spans="1:5" ht="38.25" x14ac:dyDescent="0.25">
      <c r="A56" s="624" t="s">
        <v>724</v>
      </c>
      <c r="B56" s="625" t="s">
        <v>1148</v>
      </c>
      <c r="C56" s="606">
        <v>200</v>
      </c>
      <c r="D56" s="607">
        <v>147</v>
      </c>
      <c r="E56" s="607"/>
    </row>
    <row r="57" spans="1:5" ht="26.25" x14ac:dyDescent="0.25">
      <c r="A57" s="611" t="s">
        <v>790</v>
      </c>
      <c r="B57" s="626" t="s">
        <v>783</v>
      </c>
      <c r="C57" s="606">
        <v>200</v>
      </c>
      <c r="D57" s="607">
        <v>-121</v>
      </c>
      <c r="E57" s="607"/>
    </row>
    <row r="58" spans="1:5" ht="51.75" x14ac:dyDescent="0.25">
      <c r="A58" s="611" t="s">
        <v>1123</v>
      </c>
      <c r="B58" s="610" t="s">
        <v>1124</v>
      </c>
      <c r="C58" s="606">
        <v>200</v>
      </c>
      <c r="D58" s="607">
        <v>-4.3999999999999997E-2</v>
      </c>
      <c r="E58" s="607">
        <v>6.8000000000000005E-2</v>
      </c>
    </row>
    <row r="59" spans="1:5" ht="26.25" x14ac:dyDescent="0.25">
      <c r="A59" s="611" t="s">
        <v>461</v>
      </c>
      <c r="B59" s="610" t="s">
        <v>470</v>
      </c>
      <c r="C59" s="606">
        <v>200</v>
      </c>
      <c r="D59" s="607">
        <v>-0.04</v>
      </c>
      <c r="E59" s="607"/>
    </row>
    <row r="60" spans="1:5" ht="26.25" x14ac:dyDescent="0.25">
      <c r="A60" s="611" t="s">
        <v>444</v>
      </c>
      <c r="B60" s="610" t="s">
        <v>448</v>
      </c>
      <c r="C60" s="606">
        <v>200</v>
      </c>
      <c r="D60" s="607">
        <v>-20</v>
      </c>
      <c r="E60" s="607">
        <v>-380</v>
      </c>
    </row>
    <row r="61" spans="1:5" ht="51.75" x14ac:dyDescent="0.25">
      <c r="A61" s="624" t="s">
        <v>1060</v>
      </c>
      <c r="B61" s="615" t="s">
        <v>1061</v>
      </c>
      <c r="C61" s="606">
        <v>200</v>
      </c>
      <c r="D61" s="607">
        <v>0.09</v>
      </c>
      <c r="E61" s="607">
        <v>6.9000000000000006E-2</v>
      </c>
    </row>
    <row r="62" spans="1:5" ht="64.5" x14ac:dyDescent="0.25">
      <c r="A62" s="611" t="s">
        <v>1075</v>
      </c>
      <c r="B62" s="627" t="s">
        <v>1074</v>
      </c>
      <c r="C62" s="606">
        <v>200</v>
      </c>
      <c r="D62" s="607">
        <v>0.02</v>
      </c>
      <c r="E62" s="607">
        <v>-1.4E-2</v>
      </c>
    </row>
    <row r="63" spans="1:5" ht="38.25" x14ac:dyDescent="0.25">
      <c r="A63" s="611" t="s">
        <v>1155</v>
      </c>
      <c r="B63" s="625" t="s">
        <v>1022</v>
      </c>
      <c r="C63" s="606">
        <v>200</v>
      </c>
      <c r="D63" s="607">
        <v>-24.152000000000001</v>
      </c>
      <c r="E63" s="607">
        <v>-0.05</v>
      </c>
    </row>
    <row r="64" spans="1:5" ht="25.5" x14ac:dyDescent="0.25">
      <c r="A64" s="611" t="s">
        <v>1036</v>
      </c>
      <c r="B64" s="628" t="s">
        <v>1025</v>
      </c>
      <c r="C64" s="606">
        <v>200</v>
      </c>
      <c r="D64" s="607">
        <v>-2.7</v>
      </c>
      <c r="E64" s="607"/>
    </row>
    <row r="65" spans="1:5" ht="38.25" x14ac:dyDescent="0.25">
      <c r="A65" s="611" t="s">
        <v>1213</v>
      </c>
      <c r="B65" s="628" t="s">
        <v>1214</v>
      </c>
      <c r="C65" s="606">
        <v>600</v>
      </c>
      <c r="D65" s="607">
        <v>39.799999999999997</v>
      </c>
      <c r="E65" s="607"/>
    </row>
    <row r="66" spans="1:5" ht="26.25" x14ac:dyDescent="0.25">
      <c r="A66" s="611" t="s">
        <v>298</v>
      </c>
      <c r="B66" s="626" t="s">
        <v>1037</v>
      </c>
      <c r="C66" s="606">
        <v>200</v>
      </c>
      <c r="D66" s="607">
        <v>7.0999999999999994E-2</v>
      </c>
      <c r="E66" s="607">
        <v>-3.6999999999999998E-2</v>
      </c>
    </row>
    <row r="67" spans="1:5" ht="51.75" x14ac:dyDescent="0.25">
      <c r="A67" s="611" t="s">
        <v>780</v>
      </c>
      <c r="B67" s="626" t="s">
        <v>781</v>
      </c>
      <c r="C67" s="606">
        <v>200</v>
      </c>
      <c r="D67" s="607">
        <v>6.0000000000000001E-3</v>
      </c>
      <c r="E67" s="607">
        <v>-0.05</v>
      </c>
    </row>
    <row r="68" spans="1:5" x14ac:dyDescent="0.25">
      <c r="A68" s="611" t="s">
        <v>309</v>
      </c>
      <c r="B68" s="610" t="s">
        <v>310</v>
      </c>
      <c r="C68" s="606">
        <v>200</v>
      </c>
      <c r="D68" s="607">
        <v>2.1999999999999999E-2</v>
      </c>
      <c r="E68" s="607">
        <v>-4209.0910000000003</v>
      </c>
    </row>
    <row r="69" spans="1:5" x14ac:dyDescent="0.25">
      <c r="A69" s="611" t="s">
        <v>340</v>
      </c>
      <c r="B69" s="625" t="s">
        <v>457</v>
      </c>
      <c r="C69" s="606">
        <v>200</v>
      </c>
      <c r="D69" s="607">
        <v>0.05</v>
      </c>
      <c r="E69" s="607"/>
    </row>
    <row r="70" spans="1:5" x14ac:dyDescent="0.25">
      <c r="A70" s="611" t="s">
        <v>471</v>
      </c>
      <c r="B70" s="610" t="s">
        <v>740</v>
      </c>
      <c r="C70" s="606">
        <v>200</v>
      </c>
      <c r="D70" s="607">
        <v>-500</v>
      </c>
      <c r="E70" s="607"/>
    </row>
    <row r="71" spans="1:5" x14ac:dyDescent="0.25">
      <c r="A71" s="611" t="s">
        <v>1084</v>
      </c>
      <c r="B71" s="610" t="s">
        <v>1085</v>
      </c>
      <c r="C71" s="606">
        <v>200</v>
      </c>
      <c r="D71" s="607">
        <v>-3.5000000000000003E-2</v>
      </c>
      <c r="E71" s="607">
        <v>3.5000000000000003E-2</v>
      </c>
    </row>
    <row r="72" spans="1:5" ht="25.5" x14ac:dyDescent="0.25">
      <c r="A72" s="611" t="s">
        <v>462</v>
      </c>
      <c r="B72" s="625" t="s">
        <v>738</v>
      </c>
      <c r="C72" s="606">
        <v>200</v>
      </c>
      <c r="D72" s="607">
        <v>5.8000000000000003E-2</v>
      </c>
      <c r="E72" s="607">
        <v>-3.6999999999999998E-2</v>
      </c>
    </row>
    <row r="73" spans="1:5" ht="51" x14ac:dyDescent="0.25">
      <c r="A73" s="624" t="s">
        <v>489</v>
      </c>
      <c r="B73" s="625" t="s">
        <v>490</v>
      </c>
      <c r="C73" s="606">
        <v>200</v>
      </c>
      <c r="D73" s="607">
        <v>-0.183</v>
      </c>
      <c r="E73" s="607">
        <v>-3.3000000000000002E-2</v>
      </c>
    </row>
    <row r="74" spans="1:5" ht="30" customHeight="1" x14ac:dyDescent="0.25">
      <c r="A74" s="193" t="s">
        <v>1070</v>
      </c>
      <c r="B74" s="188" t="s">
        <v>1071</v>
      </c>
      <c r="C74" s="461">
        <v>200</v>
      </c>
      <c r="D74" s="543">
        <v>-27</v>
      </c>
      <c r="E74" s="542"/>
    </row>
    <row r="75" spans="1:5" ht="30" customHeight="1" x14ac:dyDescent="0.25">
      <c r="A75" s="193" t="s">
        <v>1296</v>
      </c>
      <c r="B75" s="28" t="s">
        <v>1297</v>
      </c>
      <c r="C75" s="461">
        <v>200</v>
      </c>
      <c r="D75" s="543">
        <v>293.8</v>
      </c>
      <c r="E75" s="542"/>
    </row>
    <row r="76" spans="1:5" ht="39" customHeight="1" x14ac:dyDescent="0.25">
      <c r="A76" s="660" t="s">
        <v>385</v>
      </c>
      <c r="B76" s="665" t="s">
        <v>388</v>
      </c>
      <c r="C76" s="461">
        <v>200</v>
      </c>
      <c r="D76" s="543">
        <v>-5.7</v>
      </c>
      <c r="E76" s="542"/>
    </row>
    <row r="77" spans="1:5" x14ac:dyDescent="0.25">
      <c r="A77" s="662"/>
      <c r="B77" s="666"/>
      <c r="C77" s="461">
        <v>800</v>
      </c>
      <c r="D77" s="543">
        <v>5.7</v>
      </c>
      <c r="E77" s="542"/>
    </row>
    <row r="78" spans="1:5" ht="64.5" x14ac:dyDescent="0.25">
      <c r="A78" s="520" t="s">
        <v>478</v>
      </c>
      <c r="B78" s="159" t="s">
        <v>69</v>
      </c>
      <c r="C78" s="461">
        <v>100</v>
      </c>
      <c r="D78" s="543"/>
      <c r="E78" s="542">
        <v>4.194</v>
      </c>
    </row>
    <row r="79" spans="1:5" ht="24.75" customHeight="1" x14ac:dyDescent="0.25">
      <c r="A79" s="520" t="s">
        <v>406</v>
      </c>
      <c r="B79" s="159" t="s">
        <v>407</v>
      </c>
      <c r="C79" s="461">
        <v>800</v>
      </c>
      <c r="D79" s="542"/>
      <c r="E79" s="542">
        <v>-8.6999999999999994E-2</v>
      </c>
    </row>
    <row r="80" spans="1:5" ht="24.75" customHeight="1" x14ac:dyDescent="0.25">
      <c r="A80" s="46" t="s">
        <v>1104</v>
      </c>
      <c r="B80" s="28" t="s">
        <v>1105</v>
      </c>
      <c r="C80" s="461"/>
      <c r="D80" s="542"/>
      <c r="E80" s="542">
        <v>4.8000000000000001E-2</v>
      </c>
    </row>
    <row r="81" spans="1:5" ht="30.75" customHeight="1" x14ac:dyDescent="0.25">
      <c r="A81" s="660" t="s">
        <v>395</v>
      </c>
      <c r="B81" s="665" t="s">
        <v>396</v>
      </c>
      <c r="C81" s="461">
        <v>200</v>
      </c>
      <c r="D81" s="542">
        <v>-130.80000000000001</v>
      </c>
      <c r="E81" s="542"/>
    </row>
    <row r="82" spans="1:5" ht="15" customHeight="1" x14ac:dyDescent="0.25">
      <c r="A82" s="662"/>
      <c r="B82" s="666"/>
      <c r="C82" s="461">
        <v>600</v>
      </c>
      <c r="D82" s="542">
        <v>130.80000000000001</v>
      </c>
      <c r="E82" s="542"/>
    </row>
    <row r="83" spans="1:5" ht="15" customHeight="1" x14ac:dyDescent="0.25">
      <c r="A83" s="660" t="s">
        <v>398</v>
      </c>
      <c r="B83" s="657" t="s">
        <v>809</v>
      </c>
      <c r="C83" s="461">
        <v>200</v>
      </c>
      <c r="D83" s="629">
        <v>117.529</v>
      </c>
      <c r="E83" s="542"/>
    </row>
    <row r="84" spans="1:5" ht="15" customHeight="1" x14ac:dyDescent="0.25">
      <c r="A84" s="661"/>
      <c r="B84" s="658"/>
      <c r="C84" s="461">
        <v>300</v>
      </c>
      <c r="D84" s="629">
        <v>-5.8999999999999997E-2</v>
      </c>
      <c r="E84" s="542"/>
    </row>
    <row r="85" spans="1:5" ht="15" customHeight="1" x14ac:dyDescent="0.25">
      <c r="A85" s="662"/>
      <c r="B85" s="659"/>
      <c r="C85" s="461">
        <v>800</v>
      </c>
      <c r="D85" s="629">
        <v>-117.47</v>
      </c>
      <c r="E85" s="542"/>
    </row>
    <row r="86" spans="1:5" ht="14.45" x14ac:dyDescent="0.3">
      <c r="A86" s="461"/>
      <c r="B86" s="461"/>
      <c r="C86" s="461"/>
      <c r="D86" s="544">
        <f>SUM(D2:D85)</f>
        <v>-212.54200000000003</v>
      </c>
      <c r="E86" s="544">
        <f>SUM(E4:E82)</f>
        <v>2336.1689999999971</v>
      </c>
    </row>
    <row r="87" spans="1:5" ht="14.45" x14ac:dyDescent="0.3">
      <c r="D87" s="671">
        <f>D86+E86</f>
        <v>2123.6269999999972</v>
      </c>
      <c r="E87" s="671"/>
    </row>
    <row r="89" spans="1:5" ht="14.45" x14ac:dyDescent="0.3">
      <c r="B89">
        <v>-0.04</v>
      </c>
    </row>
    <row r="90" spans="1:5" ht="14.45" x14ac:dyDescent="0.3">
      <c r="B90">
        <v>-1.4E-2</v>
      </c>
    </row>
    <row r="92" spans="1:5" ht="14.45" x14ac:dyDescent="0.3">
      <c r="B92">
        <v>13.728999999999999</v>
      </c>
    </row>
    <row r="93" spans="1:5" ht="14.45" x14ac:dyDescent="0.3">
      <c r="B93">
        <v>-13.677</v>
      </c>
    </row>
    <row r="94" spans="1:5" x14ac:dyDescent="0.25">
      <c r="B94">
        <v>3.5000000000000003E-2</v>
      </c>
    </row>
    <row r="95" spans="1:5" x14ac:dyDescent="0.25">
      <c r="B95">
        <v>2.5999999999999999E-2</v>
      </c>
    </row>
    <row r="96" spans="1:5" x14ac:dyDescent="0.25">
      <c r="B96">
        <v>-2.9000000000000001E-2</v>
      </c>
    </row>
    <row r="97" spans="2:2" x14ac:dyDescent="0.25">
      <c r="B97">
        <v>-0.05</v>
      </c>
    </row>
    <row r="98" spans="2:2" x14ac:dyDescent="0.25">
      <c r="B98">
        <v>-255.95</v>
      </c>
    </row>
    <row r="99" spans="2:2" x14ac:dyDescent="0.25">
      <c r="B99">
        <v>-3.0000000000000001E-3</v>
      </c>
    </row>
    <row r="100" spans="2:2" x14ac:dyDescent="0.25">
      <c r="B100">
        <v>-4.1000000000000002E-2</v>
      </c>
    </row>
    <row r="101" spans="2:2" x14ac:dyDescent="0.25">
      <c r="B101">
        <v>-3.7999999999999999E-2</v>
      </c>
    </row>
    <row r="102" spans="2:2" x14ac:dyDescent="0.25">
      <c r="B102">
        <v>-0.01</v>
      </c>
    </row>
    <row r="103" spans="2:2" x14ac:dyDescent="0.25">
      <c r="B103">
        <v>-380</v>
      </c>
    </row>
    <row r="104" spans="2:2" x14ac:dyDescent="0.25">
      <c r="B104">
        <v>-3.6999999999999998E-2</v>
      </c>
    </row>
    <row r="105" spans="2:2" x14ac:dyDescent="0.25">
      <c r="B105">
        <v>-3.3000000000000002E-2</v>
      </c>
    </row>
    <row r="106" spans="2:2" x14ac:dyDescent="0.25">
      <c r="B106">
        <v>8.0000000000000002E-3</v>
      </c>
    </row>
    <row r="107" spans="2:2" x14ac:dyDescent="0.25">
      <c r="B107">
        <v>2.5000000000000001E-2</v>
      </c>
    </row>
    <row r="108" spans="2:2" x14ac:dyDescent="0.25">
      <c r="B108">
        <v>6.8000000000000005E-2</v>
      </c>
    </row>
    <row r="109" spans="2:2" x14ac:dyDescent="0.25">
      <c r="B109">
        <v>-0.05</v>
      </c>
    </row>
    <row r="110" spans="2:2" x14ac:dyDescent="0.25">
      <c r="B110">
        <v>-0.02</v>
      </c>
    </row>
    <row r="111" spans="2:2" x14ac:dyDescent="0.25">
      <c r="B111">
        <v>6225.58</v>
      </c>
    </row>
    <row r="112" spans="2:2" x14ac:dyDescent="0.25">
      <c r="B112">
        <v>367.8</v>
      </c>
    </row>
    <row r="113" spans="2:2" x14ac:dyDescent="0.25">
      <c r="B113">
        <v>4.0000000000000001E-3</v>
      </c>
    </row>
    <row r="114" spans="2:2" x14ac:dyDescent="0.25">
      <c r="B114">
        <v>54.5</v>
      </c>
    </row>
    <row r="115" spans="2:2" x14ac:dyDescent="0.25">
      <c r="B115">
        <v>-3.0000000000000001E-3</v>
      </c>
    </row>
    <row r="116" spans="2:2" x14ac:dyDescent="0.25">
      <c r="B116">
        <v>137.334</v>
      </c>
    </row>
    <row r="117" spans="2:2" x14ac:dyDescent="0.25">
      <c r="B117">
        <v>-4.5999999999999999E-2</v>
      </c>
    </row>
    <row r="118" spans="2:2" x14ac:dyDescent="0.25">
      <c r="B118">
        <v>-3.9E-2</v>
      </c>
    </row>
    <row r="119" spans="2:2" x14ac:dyDescent="0.25">
      <c r="B119">
        <v>8.0000000000000002E-3</v>
      </c>
    </row>
    <row r="120" spans="2:2" x14ac:dyDescent="0.25">
      <c r="B120">
        <v>5</v>
      </c>
    </row>
    <row r="121" spans="2:2" x14ac:dyDescent="0.25">
      <c r="B121">
        <v>-3.5000000000000003E-2</v>
      </c>
    </row>
    <row r="122" spans="2:2" x14ac:dyDescent="0.25">
      <c r="B122">
        <v>-3.7999999999999999E-2</v>
      </c>
    </row>
    <row r="123" spans="2:2" x14ac:dyDescent="0.25">
      <c r="B123">
        <v>38.465000000000003</v>
      </c>
    </row>
    <row r="124" spans="2:2" x14ac:dyDescent="0.25">
      <c r="B124">
        <v>-1448.588</v>
      </c>
    </row>
    <row r="125" spans="2:2" x14ac:dyDescent="0.25">
      <c r="B125">
        <f>SUM(B89:B124)</f>
        <v>4743.8410000000013</v>
      </c>
    </row>
  </sheetData>
  <mergeCells count="25">
    <mergeCell ref="D87:E87"/>
    <mergeCell ref="A2:A3"/>
    <mergeCell ref="B2:B3"/>
    <mergeCell ref="A4:A6"/>
    <mergeCell ref="B4:B6"/>
    <mergeCell ref="A9:A10"/>
    <mergeCell ref="B9:B10"/>
    <mergeCell ref="A37:A38"/>
    <mergeCell ref="B37:B38"/>
    <mergeCell ref="A54:A55"/>
    <mergeCell ref="B54:B55"/>
    <mergeCell ref="A23:A24"/>
    <mergeCell ref="B23:B24"/>
    <mergeCell ref="A25:A26"/>
    <mergeCell ref="B25:B26"/>
    <mergeCell ref="A27:A28"/>
    <mergeCell ref="B83:B85"/>
    <mergeCell ref="A83:A85"/>
    <mergeCell ref="B27:B28"/>
    <mergeCell ref="A81:A82"/>
    <mergeCell ref="B81:B82"/>
    <mergeCell ref="A76:A77"/>
    <mergeCell ref="B76:B77"/>
    <mergeCell ref="A39:A40"/>
    <mergeCell ref="B39:B40"/>
  </mergeCells>
  <pageMargins left="0.7" right="0.7" top="0.75" bottom="0.75" header="0.3" footer="0.3"/>
  <pageSetup paperSize="9" scale="62" orientation="portrait" r:id="rId1"/>
  <rowBreaks count="1" manualBreakCount="1">
    <brk id="36" max="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6"/>
  <sheetViews>
    <sheetView view="pageBreakPreview" topLeftCell="A68" zoomScale="60" workbookViewId="0">
      <selection activeCell="C95" sqref="C95"/>
    </sheetView>
  </sheetViews>
  <sheetFormatPr defaultRowHeight="15" x14ac:dyDescent="0.25"/>
  <cols>
    <col min="3" max="3" width="11.85546875" customWidth="1"/>
  </cols>
  <sheetData>
    <row r="2" spans="2:3" x14ac:dyDescent="0.3">
      <c r="B2">
        <v>167.7</v>
      </c>
    </row>
    <row r="3" spans="2:3" x14ac:dyDescent="0.3">
      <c r="B3">
        <v>338.9</v>
      </c>
    </row>
    <row r="4" spans="2:3" x14ac:dyDescent="0.3">
      <c r="B4">
        <v>8.8000000000000007</v>
      </c>
    </row>
    <row r="5" spans="2:3" x14ac:dyDescent="0.3">
      <c r="C5">
        <v>54.5</v>
      </c>
    </row>
    <row r="6" spans="2:3" x14ac:dyDescent="0.3">
      <c r="C6">
        <v>367.8</v>
      </c>
    </row>
    <row r="7" spans="2:3" x14ac:dyDescent="0.3">
      <c r="C7">
        <v>1232.5</v>
      </c>
    </row>
    <row r="8" spans="2:3" x14ac:dyDescent="0.3">
      <c r="C8">
        <v>139.797</v>
      </c>
    </row>
    <row r="9" spans="2:3" x14ac:dyDescent="0.3">
      <c r="C9">
        <v>6887.08</v>
      </c>
    </row>
    <row r="10" spans="2:3" x14ac:dyDescent="0.3">
      <c r="B10">
        <v>177.4</v>
      </c>
    </row>
    <row r="11" spans="2:3" x14ac:dyDescent="0.3">
      <c r="B11">
        <v>-13.8</v>
      </c>
    </row>
    <row r="12" spans="2:3" x14ac:dyDescent="0.3">
      <c r="B12">
        <v>-80</v>
      </c>
    </row>
    <row r="13" spans="2:3" x14ac:dyDescent="0.3">
      <c r="C13">
        <v>-933.8</v>
      </c>
    </row>
    <row r="14" spans="2:3" x14ac:dyDescent="0.3">
      <c r="C14">
        <v>-960.2</v>
      </c>
    </row>
    <row r="15" spans="2:3" x14ac:dyDescent="0.3">
      <c r="C15">
        <v>-463.74400000000003</v>
      </c>
    </row>
    <row r="16" spans="2:3" x14ac:dyDescent="0.3">
      <c r="C16">
        <v>-0.04</v>
      </c>
    </row>
    <row r="17" spans="2:3" x14ac:dyDescent="0.3">
      <c r="B17">
        <v>0.04</v>
      </c>
    </row>
    <row r="18" spans="2:3" x14ac:dyDescent="0.3">
      <c r="C18">
        <v>137.334</v>
      </c>
    </row>
    <row r="19" spans="2:3" x14ac:dyDescent="0.3">
      <c r="B19">
        <v>-83.6</v>
      </c>
    </row>
    <row r="20" spans="2:3" x14ac:dyDescent="0.3">
      <c r="C20">
        <v>-143.99100000000001</v>
      </c>
    </row>
    <row r="21" spans="2:3" x14ac:dyDescent="0.3">
      <c r="C21">
        <v>738.9</v>
      </c>
    </row>
    <row r="22" spans="2:3" x14ac:dyDescent="0.3">
      <c r="C22">
        <v>4.3999999999999997E-2</v>
      </c>
    </row>
    <row r="23" spans="2:3" x14ac:dyDescent="0.3">
      <c r="B23">
        <v>4.8000000000000001E-2</v>
      </c>
    </row>
    <row r="24" spans="2:3" x14ac:dyDescent="0.3">
      <c r="C24">
        <v>5</v>
      </c>
    </row>
    <row r="25" spans="2:3" x14ac:dyDescent="0.3">
      <c r="C25">
        <v>8.0000000000000002E-3</v>
      </c>
    </row>
    <row r="26" spans="2:3" x14ac:dyDescent="0.3">
      <c r="C26">
        <v>-191.93799999999999</v>
      </c>
    </row>
    <row r="27" spans="2:3" x14ac:dyDescent="0.3">
      <c r="C27">
        <v>-64.012</v>
      </c>
    </row>
    <row r="28" spans="2:3" x14ac:dyDescent="0.3">
      <c r="B28">
        <v>-111.693</v>
      </c>
    </row>
    <row r="29" spans="2:3" x14ac:dyDescent="0.3">
      <c r="C29">
        <v>-3.0000000000000001E-3</v>
      </c>
    </row>
    <row r="30" spans="2:3" x14ac:dyDescent="0.3">
      <c r="C30">
        <v>-1.6E-2</v>
      </c>
    </row>
    <row r="31" spans="2:3" x14ac:dyDescent="0.3">
      <c r="C31">
        <v>8.0000000000000002E-3</v>
      </c>
    </row>
    <row r="32" spans="2:3" x14ac:dyDescent="0.3">
      <c r="B32">
        <v>-5.0000000000000001E-3</v>
      </c>
    </row>
    <row r="33" spans="2:3" x14ac:dyDescent="0.3">
      <c r="B33">
        <v>-68.5</v>
      </c>
    </row>
    <row r="34" spans="2:3" x14ac:dyDescent="0.3">
      <c r="B34">
        <v>-219.5</v>
      </c>
    </row>
    <row r="35" spans="2:3" x14ac:dyDescent="0.3">
      <c r="B35">
        <v>-159.80000000000001</v>
      </c>
    </row>
    <row r="36" spans="2:3" x14ac:dyDescent="0.3">
      <c r="C36">
        <v>0.03</v>
      </c>
    </row>
    <row r="37" spans="2:3" x14ac:dyDescent="0.3">
      <c r="B37">
        <v>4.0000000000000001E-3</v>
      </c>
    </row>
    <row r="38" spans="2:3" x14ac:dyDescent="0.3">
      <c r="C38">
        <v>3.3000000000000002E-2</v>
      </c>
    </row>
    <row r="39" spans="2:3" x14ac:dyDescent="0.3">
      <c r="B39">
        <v>1.0999999999999999E-2</v>
      </c>
    </row>
    <row r="40" spans="2:3" x14ac:dyDescent="0.3">
      <c r="C40">
        <f>10.272-10.308</f>
        <v>-3.5999999999999588E-2</v>
      </c>
    </row>
    <row r="41" spans="2:3" x14ac:dyDescent="0.3">
      <c r="C41">
        <f>3.457-3.369</f>
        <v>8.7999999999999634E-2</v>
      </c>
    </row>
    <row r="42" spans="2:3" x14ac:dyDescent="0.3">
      <c r="B42">
        <v>-5</v>
      </c>
    </row>
    <row r="43" spans="2:3" x14ac:dyDescent="0.3">
      <c r="B43">
        <v>-38.799999999999997</v>
      </c>
    </row>
    <row r="44" spans="2:3" x14ac:dyDescent="0.3">
      <c r="C44">
        <v>2.5999999999999999E-2</v>
      </c>
    </row>
    <row r="45" spans="2:3" x14ac:dyDescent="0.3">
      <c r="B45">
        <v>-0.1</v>
      </c>
    </row>
    <row r="46" spans="2:3" x14ac:dyDescent="0.3">
      <c r="B46">
        <v>115.7</v>
      </c>
    </row>
    <row r="47" spans="2:3" x14ac:dyDescent="0.3">
      <c r="C47">
        <v>-4.5999999999999999E-2</v>
      </c>
    </row>
    <row r="48" spans="2:3" x14ac:dyDescent="0.3">
      <c r="C48">
        <v>-0.02</v>
      </c>
    </row>
    <row r="49" spans="2:3" x14ac:dyDescent="0.3">
      <c r="B49">
        <v>-0.04</v>
      </c>
    </row>
    <row r="50" spans="2:3" x14ac:dyDescent="0.3">
      <c r="C50">
        <v>2.5000000000000001E-2</v>
      </c>
    </row>
    <row r="51" spans="2:3" x14ac:dyDescent="0.3">
      <c r="B51">
        <v>4.1000000000000002E-2</v>
      </c>
    </row>
    <row r="52" spans="2:3" x14ac:dyDescent="0.3">
      <c r="C52">
        <v>1.7000000000000001E-2</v>
      </c>
    </row>
    <row r="53" spans="2:3" x14ac:dyDescent="0.3">
      <c r="C53">
        <v>-0.02</v>
      </c>
    </row>
    <row r="54" spans="2:3" x14ac:dyDescent="0.3">
      <c r="B54">
        <v>-0.04</v>
      </c>
    </row>
    <row r="55" spans="2:3" x14ac:dyDescent="0.3">
      <c r="C55">
        <v>-4.9000000000000002E-2</v>
      </c>
    </row>
    <row r="56" spans="2:3" x14ac:dyDescent="0.3">
      <c r="C56">
        <v>8.0000000000000002E-3</v>
      </c>
    </row>
    <row r="57" spans="2:3" x14ac:dyDescent="0.3">
      <c r="B57">
        <v>1.0999999999999999E-2</v>
      </c>
      <c r="C57">
        <v>-5.5E-2</v>
      </c>
    </row>
    <row r="58" spans="2:3" x14ac:dyDescent="0.3">
      <c r="B58">
        <v>-26.082000000000001</v>
      </c>
    </row>
    <row r="59" spans="2:3" x14ac:dyDescent="0.3">
      <c r="B59">
        <v>147</v>
      </c>
    </row>
    <row r="60" spans="2:3" x14ac:dyDescent="0.3">
      <c r="B60">
        <v>-121</v>
      </c>
    </row>
    <row r="61" spans="2:3" x14ac:dyDescent="0.3">
      <c r="C61">
        <v>6.8000000000000005E-2</v>
      </c>
    </row>
    <row r="62" spans="2:3" x14ac:dyDescent="0.3">
      <c r="B62">
        <v>-4.3999999999999997E-2</v>
      </c>
    </row>
    <row r="63" spans="2:3" x14ac:dyDescent="0.3">
      <c r="B63">
        <v>-0.04</v>
      </c>
    </row>
    <row r="64" spans="2:3" x14ac:dyDescent="0.3">
      <c r="C64">
        <v>-380</v>
      </c>
    </row>
    <row r="65" spans="2:3" x14ac:dyDescent="0.3">
      <c r="B65">
        <v>-20</v>
      </c>
    </row>
    <row r="66" spans="2:3" x14ac:dyDescent="0.3">
      <c r="C66">
        <v>6.9000000000000006E-2</v>
      </c>
    </row>
    <row r="67" spans="2:3" x14ac:dyDescent="0.3">
      <c r="B67">
        <v>0.09</v>
      </c>
    </row>
    <row r="68" spans="2:3" x14ac:dyDescent="0.3">
      <c r="C68">
        <v>-1.4E-2</v>
      </c>
    </row>
    <row r="69" spans="2:3" x14ac:dyDescent="0.3">
      <c r="B69">
        <v>0.02</v>
      </c>
    </row>
    <row r="70" spans="2:3" x14ac:dyDescent="0.3">
      <c r="C70">
        <v>-0.05</v>
      </c>
    </row>
    <row r="71" spans="2:3" x14ac:dyDescent="0.3">
      <c r="B71">
        <v>-24.152000000000001</v>
      </c>
    </row>
    <row r="72" spans="2:3" x14ac:dyDescent="0.3">
      <c r="B72">
        <v>-2.7</v>
      </c>
    </row>
    <row r="73" spans="2:3" x14ac:dyDescent="0.3">
      <c r="B73">
        <v>39.799999999999997</v>
      </c>
    </row>
    <row r="74" spans="2:3" x14ac:dyDescent="0.3">
      <c r="C74">
        <v>3.2000000000000001E-2</v>
      </c>
    </row>
    <row r="75" spans="2:3" x14ac:dyDescent="0.3">
      <c r="C75">
        <v>3.9E-2</v>
      </c>
    </row>
    <row r="76" spans="2:3" x14ac:dyDescent="0.3">
      <c r="B76">
        <v>-3.6999999999999998E-2</v>
      </c>
    </row>
    <row r="77" spans="2:3" x14ac:dyDescent="0.3">
      <c r="C77">
        <v>-0.05</v>
      </c>
    </row>
    <row r="78" spans="2:3" x14ac:dyDescent="0.3">
      <c r="B78">
        <v>6.0000000000000001E-3</v>
      </c>
    </row>
    <row r="79" spans="2:3" x14ac:dyDescent="0.3">
      <c r="C79">
        <v>-4209.0910000000003</v>
      </c>
    </row>
    <row r="80" spans="2:3" x14ac:dyDescent="0.3">
      <c r="B80">
        <v>2.1999999999999999E-2</v>
      </c>
    </row>
    <row r="81" spans="2:3" x14ac:dyDescent="0.3">
      <c r="B81">
        <v>0.05</v>
      </c>
    </row>
    <row r="82" spans="2:3" x14ac:dyDescent="0.3">
      <c r="B82">
        <v>-500</v>
      </c>
    </row>
    <row r="83" spans="2:3" x14ac:dyDescent="0.3">
      <c r="C83">
        <v>2.5000000000000001E-2</v>
      </c>
    </row>
    <row r="84" spans="2:3" x14ac:dyDescent="0.3">
      <c r="C84">
        <v>0.01</v>
      </c>
    </row>
    <row r="85" spans="2:3" x14ac:dyDescent="0.3">
      <c r="B85">
        <v>-3.5000000000000003E-2</v>
      </c>
    </row>
    <row r="86" spans="2:3" x14ac:dyDescent="0.3">
      <c r="C86">
        <v>-3.6999999999999998E-2</v>
      </c>
    </row>
    <row r="87" spans="2:3" x14ac:dyDescent="0.3">
      <c r="B87">
        <v>5.8000000000000003E-2</v>
      </c>
    </row>
    <row r="88" spans="2:3" x14ac:dyDescent="0.3">
      <c r="C88">
        <v>-3.3000000000000002E-2</v>
      </c>
    </row>
    <row r="89" spans="2:3" x14ac:dyDescent="0.3">
      <c r="B89">
        <v>-0.183</v>
      </c>
    </row>
    <row r="90" spans="2:3" x14ac:dyDescent="0.3">
      <c r="C90">
        <v>4.194</v>
      </c>
    </row>
    <row r="91" spans="2:3" x14ac:dyDescent="0.3">
      <c r="B91">
        <v>-27</v>
      </c>
    </row>
    <row r="92" spans="2:3" x14ac:dyDescent="0.3">
      <c r="B92">
        <v>293.8</v>
      </c>
    </row>
    <row r="93" spans="2:3" x14ac:dyDescent="0.3">
      <c r="C93">
        <v>-8.6999999999999994E-2</v>
      </c>
    </row>
    <row r="94" spans="2:3" x14ac:dyDescent="0.3">
      <c r="C94">
        <v>4.8000000000000001E-2</v>
      </c>
    </row>
    <row r="95" spans="2:3" x14ac:dyDescent="0.3">
      <c r="B95">
        <f>SUM(B2:B94)</f>
        <v>-212.65000000000003</v>
      </c>
      <c r="C95">
        <f>SUM(C2:C94)</f>
        <v>2220.3509999999974</v>
      </c>
    </row>
    <row r="96" spans="2:3" x14ac:dyDescent="0.3">
      <c r="B96" s="680">
        <f>B95+C95</f>
        <v>2007.7009999999973</v>
      </c>
      <c r="C96" s="680"/>
    </row>
  </sheetData>
  <mergeCells count="1">
    <mergeCell ref="B96:C9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Приложение 1</vt:lpstr>
      <vt:lpstr>Приложение 2</vt:lpstr>
      <vt:lpstr>Приложение 3 </vt:lpstr>
      <vt:lpstr>Приложение 5</vt:lpstr>
      <vt:lpstr>Приложение 6</vt:lpstr>
      <vt:lpstr>свод</vt:lpstr>
      <vt:lpstr>Лист1</vt:lpstr>
      <vt:lpstr>'Приложение 1'!Область_печати</vt:lpstr>
      <vt:lpstr>'Приложение 2'!Область_печати</vt:lpstr>
      <vt:lpstr>'Приложение 3 '!Область_печати</vt:lpstr>
      <vt:lpstr>'Приложение 5'!Область_печати</vt:lpstr>
      <vt:lpstr>свод!Область_печати</vt:lpstr>
      <vt:lpstr>Таблица_1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2022-12-23T06:45:42Z</cp:lastPrinted>
  <dcterms:created xsi:type="dcterms:W3CDTF">2019-10-23T10:00:46Z</dcterms:created>
  <dcterms:modified xsi:type="dcterms:W3CDTF">2022-12-23T06:48:17Z</dcterms:modified>
</cp:coreProperties>
</file>